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JDO\jdo\refs cvs papers\1 current send 121212\2017 current\preprint pkg\Email\quicksend\quickquick\"/>
    </mc:Choice>
  </mc:AlternateContent>
  <xr:revisionPtr revIDLastSave="0" documentId="8_{E3C33065-C606-4958-A268-CD90EE630CC2}" xr6:coauthVersionLast="47" xr6:coauthVersionMax="47" xr10:uidLastSave="{00000000-0000-0000-0000-000000000000}"/>
  <workbookProtection workbookAlgorithmName="SHA-512" workbookHashValue="m6zj3+Mv8HR2UjjrFghoi+sM8RbCArIWKh5IQk5PbRSRNWcr92sESbCqSmttT5xNYGsHFMnKiVhDavaQwYaOQw==" workbookSaltValue="vz4irv1+ki+MDg6HXz6ZUw==" workbookSpinCount="100000" lockStructure="1"/>
  <bookViews>
    <workbookView xWindow="-108" yWindow="-108" windowWidth="30936" windowHeight="16896" xr2:uid="{5BFC0218-5CB8-4664-AA20-D744D60DC967}"/>
  </bookViews>
  <sheets>
    <sheet name="JD Opdyke (202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4" i="1" l="1"/>
  <c r="Z36" i="1"/>
  <c r="C34" i="1"/>
  <c r="E37" i="1" s="1"/>
  <c r="H39" i="1" l="1"/>
  <c r="H47" i="1" s="1"/>
  <c r="I38" i="1"/>
  <c r="I46" i="1" s="1"/>
  <c r="I39" i="1"/>
  <c r="I47" i="1" s="1"/>
  <c r="I40" i="1"/>
  <c r="I48" i="1" s="1"/>
  <c r="L45" i="1" s="1"/>
  <c r="H37" i="1"/>
  <c r="H45" i="1" s="1"/>
  <c r="H38" i="1"/>
  <c r="H46" i="1" s="1"/>
  <c r="H40" i="1"/>
  <c r="H48" i="1" s="1"/>
  <c r="N48" i="1" s="1"/>
  <c r="T48" i="1" s="1"/>
  <c r="J39" i="1"/>
  <c r="J47" i="1" s="1"/>
  <c r="J40" i="1"/>
  <c r="J48" i="1" s="1"/>
  <c r="K40" i="1"/>
  <c r="K48" i="1" s="1"/>
  <c r="AF46" i="1" l="1"/>
  <c r="AI46" i="1" s="1"/>
  <c r="L47" i="1"/>
  <c r="Q48" i="1"/>
  <c r="J45" i="1"/>
  <c r="O46" i="1"/>
  <c r="P48" i="1"/>
  <c r="L46" i="1"/>
  <c r="N47" i="1"/>
  <c r="T47" i="1" s="1"/>
  <c r="K44" i="1"/>
  <c r="P47" i="1"/>
  <c r="K46" i="1"/>
  <c r="O48" i="1"/>
  <c r="U48" i="1" s="1"/>
  <c r="L44" i="1"/>
  <c r="N46" i="1"/>
  <c r="T46" i="1" s="1"/>
  <c r="J44" i="1"/>
  <c r="N45" i="1"/>
  <c r="H43" i="1"/>
  <c r="I44" i="1"/>
  <c r="K45" i="1"/>
  <c r="O47" i="1"/>
  <c r="X48" i="1" l="1"/>
  <c r="U47" i="1"/>
  <c r="W48" i="1"/>
  <c r="V48" i="1"/>
  <c r="AD48" i="1" s="1"/>
  <c r="T45" i="1"/>
  <c r="U45" i="1"/>
  <c r="V47" i="1"/>
  <c r="W47" i="1"/>
  <c r="V46" i="1"/>
  <c r="U46" i="1"/>
  <c r="Z46" i="1" l="1"/>
  <c r="AA46" i="1"/>
  <c r="AB46" i="1"/>
  <c r="AA47" i="1"/>
  <c r="AC44" i="1"/>
  <c r="AD47" i="1"/>
  <c r="AB44" i="1"/>
  <c r="AC46" i="1"/>
  <c r="AB47" i="1"/>
  <c r="AC48" i="1"/>
  <c r="AB48" i="1"/>
  <c r="AD46" i="1"/>
  <c r="AD44" i="1"/>
  <c r="Z47" i="1"/>
  <c r="AA48" i="1"/>
  <c r="AC47" i="1"/>
  <c r="Z48" i="1"/>
  <c r="AA45" i="1"/>
  <c r="AA44" i="1"/>
  <c r="AB45" i="1"/>
  <c r="Z45" i="1"/>
  <c r="AC45" i="1"/>
  <c r="AD45" i="1"/>
  <c r="Q40" i="1" l="1"/>
  <c r="P40" i="1"/>
  <c r="O40" i="1"/>
  <c r="N40" i="1"/>
  <c r="T40" i="1" s="1"/>
  <c r="P39" i="1"/>
  <c r="O39" i="1"/>
  <c r="N39" i="1"/>
  <c r="T39" i="1" s="1"/>
  <c r="L39" i="1"/>
  <c r="O38" i="1"/>
  <c r="N38" i="1"/>
  <c r="T38" i="1" s="1"/>
  <c r="L38" i="1"/>
  <c r="K38" i="1"/>
  <c r="L37" i="1"/>
  <c r="K37" i="1"/>
  <c r="J37" i="1"/>
  <c r="L36" i="1"/>
  <c r="K36" i="1"/>
  <c r="J36" i="1"/>
  <c r="P29" i="1"/>
  <c r="O29" i="1"/>
  <c r="B15" i="1"/>
  <c r="U40" i="1" l="1"/>
  <c r="U39" i="1"/>
  <c r="V38" i="1"/>
  <c r="V40" i="1"/>
  <c r="W40" i="1"/>
  <c r="X40" i="1"/>
  <c r="W39" i="1"/>
  <c r="V39" i="1"/>
  <c r="U38" i="1"/>
  <c r="N29" i="1"/>
  <c r="N28" i="1"/>
  <c r="T28" i="1" s="1"/>
  <c r="O28" i="1"/>
  <c r="N27" i="1"/>
  <c r="U27" i="1" s="1"/>
  <c r="Z26" i="1"/>
  <c r="N16" i="1"/>
  <c r="AD38" i="1" l="1"/>
  <c r="AB38" i="1"/>
  <c r="Z39" i="1"/>
  <c r="AD36" i="1"/>
  <c r="Z40" i="1"/>
  <c r="AD39" i="1"/>
  <c r="Z38" i="1"/>
  <c r="AB40" i="1"/>
  <c r="AD40" i="1"/>
  <c r="AB36" i="1"/>
  <c r="AC38" i="1"/>
  <c r="AB39" i="1"/>
  <c r="AC40" i="1"/>
  <c r="AC39" i="1"/>
  <c r="AC36" i="1"/>
  <c r="N17" i="1"/>
  <c r="T17" i="1" s="1"/>
  <c r="Z17" i="1" s="1"/>
  <c r="N18" i="1"/>
  <c r="T18" i="1" s="1"/>
  <c r="Z18" i="1" s="1"/>
  <c r="N20" i="1"/>
  <c r="T20" i="1" s="1"/>
  <c r="Z20" i="1" s="1"/>
  <c r="N19" i="1"/>
  <c r="T19" i="1" s="1"/>
  <c r="Z19" i="1" s="1"/>
  <c r="U29" i="1"/>
  <c r="W29" i="1"/>
  <c r="V28" i="1"/>
  <c r="T27" i="1"/>
  <c r="T29" i="1"/>
  <c r="U28" i="1"/>
  <c r="V29" i="1"/>
  <c r="AF38" i="1" l="1"/>
  <c r="AI38" i="1" s="1"/>
  <c r="I36" i="1"/>
  <c r="H35" i="1"/>
  <c r="N37" i="1"/>
  <c r="O17" i="1"/>
  <c r="O20" i="1" s="1"/>
  <c r="U20" i="1" s="1"/>
  <c r="AA20" i="1" s="1"/>
  <c r="Z28" i="1"/>
  <c r="AC29" i="1"/>
  <c r="AA29" i="1"/>
  <c r="AB29" i="1"/>
  <c r="Z29" i="1"/>
  <c r="AC26" i="1"/>
  <c r="AB28" i="1"/>
  <c r="AA28" i="1"/>
  <c r="AB26" i="1"/>
  <c r="Z27" i="1"/>
  <c r="AA27" i="1"/>
  <c r="AA26" i="1"/>
  <c r="AC27" i="1"/>
  <c r="AB27" i="1"/>
  <c r="AC28" i="1"/>
  <c r="O19" i="1" l="1"/>
  <c r="U19" i="1" s="1"/>
  <c r="AA19" i="1" s="1"/>
  <c r="T37" i="1"/>
  <c r="U37" i="1"/>
  <c r="O18" i="1"/>
  <c r="P18" i="1" s="1"/>
  <c r="P19" i="1" l="1"/>
  <c r="Q19" i="1" s="1"/>
  <c r="AA38" i="1"/>
  <c r="AA39" i="1"/>
  <c r="AA40" i="1"/>
  <c r="AB37" i="1"/>
  <c r="AA36" i="1"/>
  <c r="AA37" i="1"/>
  <c r="Z37" i="1"/>
  <c r="AC37" i="1"/>
  <c r="AD37" i="1"/>
  <c r="P20" i="1"/>
  <c r="V20" i="1" s="1"/>
  <c r="AB20" i="1" s="1"/>
  <c r="U18" i="1"/>
  <c r="AA18" i="1" s="1"/>
  <c r="V19" i="1" l="1"/>
  <c r="AB19" i="1" s="1"/>
  <c r="AC18" i="1" s="1"/>
  <c r="Q20" i="1"/>
  <c r="R20" i="1" s="1"/>
  <c r="L19" i="1"/>
  <c r="L18" i="1"/>
  <c r="K18" i="1"/>
  <c r="L17" i="1"/>
  <c r="K17" i="1"/>
  <c r="J17" i="1"/>
  <c r="L16" i="1"/>
  <c r="K16" i="1"/>
  <c r="J16" i="1"/>
  <c r="I16" i="1"/>
  <c r="K28" i="1"/>
  <c r="K27" i="1"/>
  <c r="J27" i="1"/>
  <c r="K26" i="1"/>
  <c r="P30" i="1" s="1"/>
  <c r="J26" i="1"/>
  <c r="O30" i="1" s="1"/>
  <c r="I26" i="1"/>
  <c r="L26" i="1" s="1"/>
  <c r="AD18" i="1"/>
  <c r="AD17" i="1"/>
  <c r="AC17" i="1"/>
  <c r="AB17" i="1"/>
  <c r="AD16" i="1"/>
  <c r="AC16" i="1"/>
  <c r="AB16" i="1"/>
  <c r="AA16" i="1"/>
  <c r="W20" i="1" l="1"/>
  <c r="AC20" i="1" s="1"/>
  <c r="AF18" i="1" s="1"/>
  <c r="AI18" i="1" s="1"/>
  <c r="H15" i="1"/>
  <c r="Q30" i="1"/>
  <c r="L29" i="1"/>
  <c r="L27" i="1"/>
  <c r="N30" i="1"/>
  <c r="T30" i="1" s="1"/>
  <c r="AF28" i="1"/>
  <c r="AI28" i="1" s="1"/>
  <c r="H25" i="1"/>
  <c r="L28" i="1"/>
  <c r="AD19" i="1" l="1"/>
  <c r="U30" i="1"/>
  <c r="V30" i="1"/>
  <c r="W30" i="1"/>
  <c r="X30" i="1"/>
  <c r="AD30" i="1" l="1"/>
  <c r="AA30" i="1"/>
  <c r="AD28" i="1"/>
  <c r="AC30" i="1"/>
  <c r="AD26" i="1"/>
  <c r="Z30" i="1"/>
  <c r="AD29" i="1"/>
  <c r="AD27" i="1"/>
  <c r="AB30" i="1"/>
</calcChain>
</file>

<file path=xl/sharedStrings.xml><?xml version="1.0" encoding="utf-8"?>
<sst xmlns="http://schemas.openxmlformats.org/spreadsheetml/2006/main" count="72" uniqueCount="50">
  <si>
    <t>CDF matrix</t>
  </si>
  <si>
    <t>null = Gaussian identity matrix</t>
  </si>
  <si>
    <t>corresponding CDF matrix</t>
  </si>
  <si>
    <t>Cholesky factorization</t>
  </si>
  <si>
    <t>(user-specified input)</t>
  </si>
  <si>
    <t>k=</t>
  </si>
  <si>
    <t xml:space="preserve">         = ln(p-value)</t>
  </si>
  <si>
    <t>LNP = ln( Pr(observed | identity) )</t>
  </si>
  <si>
    <t>Spherical Angles</t>
  </si>
  <si>
    <t>N sample size =</t>
  </si>
  <si>
    <t>p-value =</t>
  </si>
  <si>
    <t>tolerance</t>
  </si>
  <si>
    <t>for CDF values near 0 or 1</t>
  </si>
  <si>
    <t>α</t>
  </si>
  <si>
    <t>CI: 1-α</t>
  </si>
  <si>
    <t>1.</t>
  </si>
  <si>
    <t>2.</t>
  </si>
  <si>
    <t>1. &amp; 2.:</t>
  </si>
  <si>
    <t>1. &amp; 3.:</t>
  </si>
  <si>
    <t>For 1. &amp; 2.:</t>
  </si>
  <si>
    <t>For 1. &amp; 3.:</t>
  </si>
  <si>
    <t>for Financial Portfolios" - (on SSRN, ResearchGate, www.DataMineit.com)</t>
  </si>
  <si>
    <t>p-value for the entire matrix</t>
  </si>
  <si>
    <t>Inverse CDF ('quantile') Correlation Matrix</t>
  </si>
  <si>
    <t>4.</t>
  </si>
  <si>
    <t>3.</t>
  </si>
  <si>
    <t>(Upper) CDF matrix</t>
  </si>
  <si>
    <t>SIMULTANEOUS CONFIDENCE INTERVALS</t>
  </si>
  <si>
    <t>(Lower) CDF matrix</t>
  </si>
  <si>
    <t>1. &amp; 4.:</t>
  </si>
  <si>
    <t>For 1. &amp; 4.:</t>
  </si>
  <si>
    <t>estimated/observed Correlation Matrix</t>
  </si>
  <si>
    <t>corresponding ('quantile') Correlation Matrix</t>
  </si>
  <si>
    <t>Insert a (positive definite) correlation matrix in the green cells of the top matrix (rows 17-20) to obtain the unique corresponding CDF matrix in the orange cells (as well as the p-value of the matrix).</t>
  </si>
  <si>
    <t>Insert the desired α (cell E36) to obtain, via Simultaneous Confidence Intervals, the Upper/Lower (1-α)% C.I. Correlation Matrices in the orange cells (as well as the p-values of the matrices).</t>
  </si>
  <si>
    <t>(these results are obtainable under general conditions via the NAbC algorithm of Opdyke, 2022)</t>
  </si>
  <si>
    <t>UPPER (1-α/2)% Confidence Interval Correlation Matrix</t>
  </si>
  <si>
    <t>LOWER (α/2)% Confidence Interval Correlation Matrix</t>
  </si>
  <si>
    <t xml:space="preserve">Robust Inference and Flexible Scenarios and Stress Testing </t>
  </si>
  <si>
    <t>example, α=0.401 gives 95%</t>
  </si>
  <si>
    <t>as well as Individual Cell Confidence Intervals)</t>
  </si>
  <si>
    <t>Upper/Lower 95% Correlation Matrices (i.e. Simultaneous Confidence Interval matrices,</t>
  </si>
  <si>
    <t>for N=252)</t>
  </si>
  <si>
    <t>CI's for all cells individually</t>
  </si>
  <si>
    <t xml:space="preserve">from Opdyke, JD, (2022), "Beating the Correlation Breakdown, for Pearson's and Beyond: </t>
  </si>
  <si>
    <t>Conversely, insert a matrix of CDF values in the green cells of the next matrix (rows 27-30) to obtain the unique corresponding correlation matrix in the orange cells (as well as the p-value of the matrix).</t>
  </si>
  <si>
    <t>('back into' individual rather</t>
  </si>
  <si>
    <t xml:space="preserve">than simultaneous CI's; for </t>
  </si>
  <si>
    <t>This is a fully analytic solution, requiring no sampling ('rejection' methods or otherwise).  The null hypothesis is the Gaussian identity matrix. Green cells require valid user input.</t>
  </si>
  <si>
    <t>Pearson's Correlation Matrix--Analytically Derived Inference Under the (Gaussian) Identity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</si>
</sst>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00000000000000000000000000000000000000000000"/>
    <numFmt numFmtId="168" formatCode="_(* #,##0.0000_);_(* \(#,##0.0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quotePrefix="1"/>
    <xf numFmtId="0" fontId="2" fillId="0" borderId="0" xfId="0" applyFont="1"/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quotePrefix="1" applyFont="1"/>
    <xf numFmtId="166" fontId="0" fillId="0" borderId="0" xfId="0" applyNumberFormat="1"/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5" xfId="0" applyNumberFormat="1" applyBorder="1" applyAlignment="1">
      <alignment horizontal="center"/>
    </xf>
    <xf numFmtId="1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5" fontId="2" fillId="4" borderId="0" xfId="0" quotePrefix="1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65" fontId="2" fillId="3" borderId="0" xfId="0" applyNumberFormat="1" applyFont="1" applyFill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0" fillId="0" borderId="12" xfId="0" applyBorder="1"/>
    <xf numFmtId="165" fontId="2" fillId="0" borderId="0" xfId="0" applyNumberFormat="1" applyFont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0" fillId="0" borderId="13" xfId="0" applyBorder="1"/>
    <xf numFmtId="0" fontId="0" fillId="0" borderId="10" xfId="0" applyBorder="1" applyAlignment="1">
      <alignment horizontal="center"/>
    </xf>
    <xf numFmtId="0" fontId="0" fillId="0" borderId="14" xfId="0" applyBorder="1"/>
    <xf numFmtId="11" fontId="0" fillId="0" borderId="0" xfId="0" applyNumberFormat="1"/>
    <xf numFmtId="167" fontId="0" fillId="0" borderId="0" xfId="1" applyNumberFormat="1" applyFont="1"/>
    <xf numFmtId="2" fontId="0" fillId="0" borderId="0" xfId="0" applyNumberFormat="1"/>
    <xf numFmtId="164" fontId="6" fillId="0" borderId="0" xfId="0" applyNumberFormat="1" applyFont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11" fontId="0" fillId="3" borderId="0" xfId="0" applyNumberFormat="1" applyFill="1" applyAlignment="1" applyProtection="1">
      <alignment horizontal="center"/>
      <protection locked="0"/>
    </xf>
    <xf numFmtId="168" fontId="2" fillId="3" borderId="0" xfId="1" applyNumberFormat="1" applyFont="1" applyFill="1" applyProtection="1">
      <protection locked="0"/>
    </xf>
    <xf numFmtId="165" fontId="0" fillId="0" borderId="0" xfId="0" applyNumberFormat="1"/>
    <xf numFmtId="0" fontId="7" fillId="0" borderId="0" xfId="0" applyFont="1"/>
    <xf numFmtId="0" fontId="2" fillId="0" borderId="0" xfId="0" quotePrefix="1" applyFont="1"/>
    <xf numFmtId="0" fontId="7" fillId="0" borderId="0" xfId="0" quotePrefix="1" applyFont="1"/>
    <xf numFmtId="0" fontId="5" fillId="0" borderId="0" xfId="0" quotePrefix="1" applyFont="1"/>
    <xf numFmtId="0" fontId="8" fillId="0" borderId="0" xfId="0" applyFont="1"/>
    <xf numFmtId="0" fontId="2" fillId="0" borderId="16" xfId="0" quotePrefix="1" applyFont="1" applyBorder="1"/>
    <xf numFmtId="11" fontId="2" fillId="4" borderId="17" xfId="0" applyNumberFormat="1" applyFont="1" applyFill="1" applyBorder="1" applyAlignment="1">
      <alignment horizontal="center"/>
    </xf>
    <xf numFmtId="165" fontId="0" fillId="0" borderId="0" xfId="0" quotePrefix="1" applyNumberFormat="1"/>
    <xf numFmtId="165" fontId="0" fillId="2" borderId="0" xfId="0" quotePrefix="1" applyNumberFormat="1" applyFill="1" applyAlignment="1">
      <alignment horizontal="center"/>
    </xf>
    <xf numFmtId="165" fontId="2" fillId="0" borderId="0" xfId="0" applyNumberFormat="1" applyFont="1"/>
    <xf numFmtId="0" fontId="9" fillId="0" borderId="0" xfId="0" applyFont="1"/>
    <xf numFmtId="0" fontId="10" fillId="0" borderId="0" xfId="0" quotePrefix="1" applyFont="1"/>
    <xf numFmtId="0" fontId="10" fillId="0" borderId="0" xfId="0" applyFont="1"/>
    <xf numFmtId="0" fontId="11" fillId="0" borderId="0" xfId="0" applyFont="1"/>
    <xf numFmtId="0" fontId="2" fillId="3" borderId="15" xfId="0" quotePrefix="1" applyFont="1" applyFill="1" applyBorder="1" applyAlignment="1" applyProtection="1">
      <alignment horizontal="center"/>
      <protection locked="0"/>
    </xf>
    <xf numFmtId="0" fontId="11" fillId="0" borderId="0" xfId="0" quotePrefix="1" applyFont="1" applyAlignment="1">
      <alignment horizontal="right"/>
    </xf>
    <xf numFmtId="0" fontId="11" fillId="0" borderId="0" xfId="0" quotePrefix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160020</xdr:colOff>
      <xdr:row>21</xdr:row>
      <xdr:rowOff>114300</xdr:rowOff>
    </xdr:from>
    <xdr:to>
      <xdr:col>12</xdr:col>
      <xdr:colOff>358140</xdr:colOff>
      <xdr:row>23</xdr:row>
      <xdr:rowOff>76200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40DBB89D-BB2D-49BD-B394-D1A1FE5FCC3C}"/>
            </a:ext>
          </a:extLst>
        </xdr:cNvPr>
        <xdr:cNvSpPr/>
      </xdr:nvSpPr>
      <xdr:spPr>
        <a:xfrm>
          <a:off x="4815840" y="3771900"/>
          <a:ext cx="1203960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213360</xdr:colOff>
      <xdr:row>21</xdr:row>
      <xdr:rowOff>114300</xdr:rowOff>
    </xdr:from>
    <xdr:to>
      <xdr:col>24</xdr:col>
      <xdr:colOff>411480</xdr:colOff>
      <xdr:row>23</xdr:row>
      <xdr:rowOff>76200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044BF676-47C5-4504-9747-D12E3E47A4FE}"/>
            </a:ext>
          </a:extLst>
        </xdr:cNvPr>
        <xdr:cNvSpPr/>
      </xdr:nvSpPr>
      <xdr:spPr>
        <a:xfrm>
          <a:off x="10904220" y="3771900"/>
          <a:ext cx="1203960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213360</xdr:colOff>
      <xdr:row>21</xdr:row>
      <xdr:rowOff>114300</xdr:rowOff>
    </xdr:from>
    <xdr:to>
      <xdr:col>18</xdr:col>
      <xdr:colOff>411480</xdr:colOff>
      <xdr:row>23</xdr:row>
      <xdr:rowOff>76200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19B394B3-0DAB-4AD9-B758-F1B519842B9D}"/>
            </a:ext>
          </a:extLst>
        </xdr:cNvPr>
        <xdr:cNvSpPr/>
      </xdr:nvSpPr>
      <xdr:spPr>
        <a:xfrm>
          <a:off x="7886700" y="3771900"/>
          <a:ext cx="1203960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DDA00-EB17-4772-AE71-BCAF816EBC8E}">
  <sheetPr codeName="Sheet1"/>
  <dimension ref="A1:AY49"/>
  <sheetViews>
    <sheetView tabSelected="1" workbookViewId="0">
      <selection activeCell="H9" sqref="H9"/>
    </sheetView>
  </sheetViews>
  <sheetFormatPr defaultRowHeight="14.4" x14ac:dyDescent="0.3"/>
  <cols>
    <col min="1" max="1" width="1.88671875" customWidth="1"/>
    <col min="2" max="4" width="4.77734375" customWidth="1"/>
    <col min="5" max="5" width="6.6640625" customWidth="1"/>
    <col min="6" max="6" width="4.77734375" customWidth="1"/>
    <col min="7" max="7" width="2.33203125" customWidth="1"/>
    <col min="8" max="12" width="7.88671875" customWidth="1"/>
    <col min="13" max="13" width="2.33203125" customWidth="1"/>
    <col min="14" max="18" width="7.88671875" customWidth="1"/>
    <col min="19" max="19" width="2.33203125" customWidth="1"/>
    <col min="20" max="24" width="7.88671875" customWidth="1"/>
    <col min="25" max="25" width="2.33203125" customWidth="1"/>
    <col min="26" max="30" width="7.88671875" customWidth="1"/>
    <col min="31" max="31" width="2.33203125" customWidth="1"/>
    <col min="32" max="32" width="11.77734375" customWidth="1"/>
    <col min="33" max="33" width="2" customWidth="1"/>
    <col min="34" max="34" width="8.77734375" customWidth="1"/>
    <col min="35" max="35" width="9.77734375" customWidth="1"/>
    <col min="36" max="42" width="7.33203125" customWidth="1"/>
  </cols>
  <sheetData>
    <row r="1" spans="1:38" ht="4.2" customHeight="1" x14ac:dyDescent="0.3">
      <c r="AF1" s="2"/>
    </row>
    <row r="2" spans="1:38" ht="14.4" customHeight="1" x14ac:dyDescent="0.3">
      <c r="E2" s="66"/>
      <c r="F2" s="66"/>
      <c r="G2" s="66"/>
      <c r="H2" s="67" t="s">
        <v>49</v>
      </c>
      <c r="I2" s="66"/>
      <c r="J2" s="66"/>
      <c r="K2" s="66"/>
      <c r="L2" s="66"/>
      <c r="M2" s="66"/>
      <c r="N2" s="66"/>
      <c r="O2" s="66"/>
      <c r="P2" s="66"/>
      <c r="Q2" s="66"/>
      <c r="R2" s="66"/>
      <c r="U2" s="71" t="s">
        <v>15</v>
      </c>
      <c r="V2" s="68" t="s">
        <v>22</v>
      </c>
      <c r="W2" s="66"/>
      <c r="X2" s="66"/>
      <c r="Y2" s="66"/>
      <c r="Z2" s="66"/>
      <c r="AA2" s="66"/>
    </row>
    <row r="3" spans="1:38" ht="14.4" customHeight="1" x14ac:dyDescent="0.35">
      <c r="B3" s="3"/>
      <c r="D3" s="3"/>
      <c r="E3" s="66"/>
      <c r="F3" s="66"/>
      <c r="G3" s="66"/>
      <c r="H3" s="72" t="s">
        <v>35</v>
      </c>
      <c r="I3" s="66"/>
      <c r="J3" s="66"/>
      <c r="K3" s="66"/>
      <c r="L3" s="66"/>
      <c r="M3" s="66"/>
      <c r="N3" s="66"/>
      <c r="O3" s="66"/>
      <c r="P3" s="66"/>
      <c r="Q3" s="66"/>
      <c r="R3" s="66"/>
      <c r="U3" s="71" t="s">
        <v>16</v>
      </c>
      <c r="V3" s="68" t="s">
        <v>0</v>
      </c>
      <c r="W3" s="66"/>
      <c r="X3" s="66"/>
      <c r="Y3" s="66"/>
      <c r="Z3" s="66"/>
      <c r="AA3" s="66"/>
    </row>
    <row r="4" spans="1:38" ht="14.4" customHeight="1" x14ac:dyDescent="0.35">
      <c r="B4" s="3"/>
      <c r="D4" s="3"/>
      <c r="E4" s="66"/>
      <c r="F4" s="66"/>
      <c r="G4" s="66"/>
      <c r="H4" s="68" t="s">
        <v>44</v>
      </c>
      <c r="I4" s="66"/>
      <c r="J4" s="66"/>
      <c r="K4" s="66"/>
      <c r="L4" s="66"/>
      <c r="M4" s="66"/>
      <c r="N4" s="66"/>
      <c r="O4" s="66"/>
      <c r="P4" s="66"/>
      <c r="Q4" s="66"/>
      <c r="R4" s="66"/>
      <c r="U4" s="71" t="s">
        <v>25</v>
      </c>
      <c r="V4" s="68" t="s">
        <v>23</v>
      </c>
      <c r="W4" s="66"/>
      <c r="X4" s="66"/>
      <c r="Y4" s="66"/>
      <c r="Z4" s="66"/>
      <c r="AA4" s="66"/>
    </row>
    <row r="5" spans="1:38" ht="14.4" customHeight="1" x14ac:dyDescent="0.35">
      <c r="B5" s="3"/>
      <c r="D5" s="3"/>
      <c r="E5" s="66"/>
      <c r="F5" s="66"/>
      <c r="G5" s="66"/>
      <c r="H5" s="68" t="s">
        <v>38</v>
      </c>
      <c r="I5" s="66"/>
      <c r="J5" s="66"/>
      <c r="K5" s="66"/>
      <c r="L5" s="66"/>
      <c r="M5" s="66"/>
      <c r="N5" s="66"/>
      <c r="O5" s="66"/>
      <c r="P5" s="66"/>
      <c r="Q5" s="66"/>
      <c r="R5" s="66"/>
      <c r="U5" s="71" t="s">
        <v>24</v>
      </c>
      <c r="V5" s="68" t="s">
        <v>41</v>
      </c>
      <c r="W5" s="66"/>
      <c r="X5" s="66"/>
      <c r="Y5" s="66"/>
      <c r="Z5" s="66"/>
      <c r="AA5" s="66"/>
    </row>
    <row r="6" spans="1:38" ht="14.4" customHeight="1" x14ac:dyDescent="0.35">
      <c r="A6" s="3"/>
      <c r="E6" s="66"/>
      <c r="F6" s="66"/>
      <c r="G6" s="66"/>
      <c r="H6" s="68" t="s">
        <v>21</v>
      </c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8" t="s">
        <v>40</v>
      </c>
      <c r="W6" s="66"/>
      <c r="X6" s="66"/>
      <c r="Y6" s="66"/>
      <c r="Z6" s="66"/>
      <c r="AA6" s="66"/>
    </row>
    <row r="7" spans="1:38" ht="14.4" customHeight="1" x14ac:dyDescent="0.3">
      <c r="E7" s="66"/>
      <c r="F7" s="66"/>
      <c r="G7" s="66"/>
      <c r="H7" s="66"/>
      <c r="I7" s="66"/>
      <c r="J7" s="66"/>
      <c r="K7" s="66"/>
      <c r="L7" s="68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</row>
    <row r="8" spans="1:38" ht="14.4" customHeight="1" x14ac:dyDescent="0.3">
      <c r="E8" s="66"/>
      <c r="F8" s="66"/>
      <c r="G8" s="66"/>
      <c r="H8" s="68" t="s">
        <v>48</v>
      </c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</row>
    <row r="9" spans="1:38" ht="14.4" customHeight="1" x14ac:dyDescent="0.35">
      <c r="D9" s="60"/>
      <c r="E9" s="69" t="s">
        <v>19</v>
      </c>
      <c r="F9" s="69"/>
      <c r="G9" s="66"/>
      <c r="H9" s="68" t="s">
        <v>33</v>
      </c>
      <c r="I9" s="66"/>
      <c r="J9" s="66"/>
      <c r="K9" s="68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</row>
    <row r="10" spans="1:38" ht="14.4" customHeight="1" x14ac:dyDescent="0.35">
      <c r="D10" s="60"/>
      <c r="E10" s="69" t="s">
        <v>20</v>
      </c>
      <c r="F10" s="69"/>
      <c r="G10" s="66"/>
      <c r="H10" s="68" t="s">
        <v>45</v>
      </c>
      <c r="I10" s="66"/>
      <c r="J10" s="66"/>
      <c r="K10" s="68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</row>
    <row r="11" spans="1:38" ht="14.4" customHeight="1" x14ac:dyDescent="0.35">
      <c r="D11" s="60"/>
      <c r="E11" s="69" t="s">
        <v>30</v>
      </c>
      <c r="F11" s="69"/>
      <c r="G11" s="66"/>
      <c r="H11" s="68" t="s">
        <v>34</v>
      </c>
      <c r="I11" s="66"/>
      <c r="J11" s="66"/>
      <c r="K11" s="68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</row>
    <row r="12" spans="1:38" ht="15" thickBot="1" x14ac:dyDescent="0.35">
      <c r="AF12" s="52" t="s">
        <v>11</v>
      </c>
      <c r="AG12" s="11" t="s">
        <v>4</v>
      </c>
    </row>
    <row r="13" spans="1:38" ht="15.6" thickTop="1" thickBot="1" x14ac:dyDescent="0.35">
      <c r="B13" s="11" t="s">
        <v>4</v>
      </c>
      <c r="E13" s="41"/>
      <c r="H13" s="11" t="s">
        <v>4</v>
      </c>
      <c r="AE13" s="37"/>
      <c r="AF13" s="53">
        <v>9.9999999999999991E-308</v>
      </c>
      <c r="AG13" s="44" t="s">
        <v>12</v>
      </c>
    </row>
    <row r="14" spans="1:38" ht="15.6" thickTop="1" thickBot="1" x14ac:dyDescent="0.35">
      <c r="B14" s="2" t="s">
        <v>9</v>
      </c>
      <c r="D14" s="37"/>
      <c r="E14" s="43">
        <v>252</v>
      </c>
      <c r="F14" s="44"/>
      <c r="H14" s="2" t="s">
        <v>31</v>
      </c>
      <c r="N14" s="2" t="s">
        <v>3</v>
      </c>
      <c r="T14" s="2" t="s">
        <v>8</v>
      </c>
      <c r="Z14" s="2" t="s">
        <v>2</v>
      </c>
      <c r="AF14" s="38"/>
      <c r="AL14" s="2"/>
    </row>
    <row r="15" spans="1:38" ht="15.6" thickTop="1" thickBot="1" x14ac:dyDescent="0.35">
      <c r="B15" s="13" t="str">
        <f>IF(OR(NOT(ISNUMBER(E14)),E14&lt;6),"N must be integer &gt; 5."," ")</f>
        <v xml:space="preserve"> </v>
      </c>
      <c r="E15" s="38"/>
      <c r="H15" s="40" t="str">
        <f>IF(NOT(ISNUMBER(N16*N17*N18*N19*N20*O17*O18*O19*O20*P18*P19*P20*Q19*Q20*R20)),"MATRIX MUST BE POSITIVE DEFINITE","")</f>
        <v/>
      </c>
      <c r="I15" s="41"/>
      <c r="J15" s="41"/>
      <c r="K15" s="41"/>
      <c r="L15" s="41"/>
      <c r="Z15" s="41"/>
      <c r="AA15" s="41"/>
      <c r="AB15" s="41"/>
      <c r="AC15" s="41"/>
      <c r="AD15" s="41"/>
      <c r="AF15" s="2" t="s">
        <v>7</v>
      </c>
    </row>
    <row r="16" spans="1:38" ht="15" thickTop="1" x14ac:dyDescent="0.3">
      <c r="G16" s="37"/>
      <c r="H16" s="34">
        <v>1</v>
      </c>
      <c r="I16" s="32">
        <f>H17</f>
        <v>0</v>
      </c>
      <c r="J16" s="32">
        <f>H18</f>
        <v>0</v>
      </c>
      <c r="K16" s="32">
        <f>H19</f>
        <v>0</v>
      </c>
      <c r="L16" s="32">
        <f>H20</f>
        <v>0</v>
      </c>
      <c r="M16" s="39"/>
      <c r="N16" s="16">
        <f>SQRT(H16)</f>
        <v>1</v>
      </c>
      <c r="O16" s="25">
        <v>0</v>
      </c>
      <c r="P16" s="25">
        <v>0</v>
      </c>
      <c r="Q16" s="25">
        <v>0</v>
      </c>
      <c r="R16" s="26">
        <v>0</v>
      </c>
      <c r="S16" s="7"/>
      <c r="T16" s="16"/>
      <c r="U16" s="17"/>
      <c r="V16" s="17"/>
      <c r="W16" s="17"/>
      <c r="X16" s="18"/>
      <c r="Y16" s="46"/>
      <c r="Z16" s="42"/>
      <c r="AA16" s="30">
        <f>Z17</f>
        <v>0.5</v>
      </c>
      <c r="AB16" s="30">
        <f>Z18</f>
        <v>0.5</v>
      </c>
      <c r="AC16" s="30">
        <f>Z19</f>
        <v>0.5</v>
      </c>
      <c r="AD16" s="30">
        <f>Z20</f>
        <v>0.5</v>
      </c>
      <c r="AE16" s="44"/>
      <c r="AF16" s="2" t="s">
        <v>6</v>
      </c>
    </row>
    <row r="17" spans="2:51" ht="15" thickBot="1" x14ac:dyDescent="0.35">
      <c r="E17" s="59"/>
      <c r="F17" s="59" t="s">
        <v>17</v>
      </c>
      <c r="G17" s="37"/>
      <c r="H17" s="36">
        <v>0</v>
      </c>
      <c r="I17" s="34">
        <v>1</v>
      </c>
      <c r="J17" s="32">
        <f>I18</f>
        <v>0</v>
      </c>
      <c r="K17" s="32">
        <f>I19</f>
        <v>0</v>
      </c>
      <c r="L17" s="32">
        <f>I20</f>
        <v>0</v>
      </c>
      <c r="M17" s="39"/>
      <c r="N17" s="19">
        <f>H17/N16</f>
        <v>0</v>
      </c>
      <c r="O17" s="20">
        <f>SQRT(I17-N17^2)</f>
        <v>1</v>
      </c>
      <c r="P17" s="27">
        <v>0</v>
      </c>
      <c r="Q17" s="27">
        <v>0</v>
      </c>
      <c r="R17" s="28">
        <v>0</v>
      </c>
      <c r="S17" s="7"/>
      <c r="T17" s="19">
        <f>ACOS(N17)</f>
        <v>1.5707963267948966</v>
      </c>
      <c r="U17" s="20"/>
      <c r="V17" s="20"/>
      <c r="W17" s="20"/>
      <c r="X17" s="21"/>
      <c r="Y17" s="46"/>
      <c r="Z17" s="31">
        <f>IF(T17=PI()/2,0.5,IF(T17&lt;PI()/2,0.5-0.5*_xlfn.BETA.DIST(COS(T17)^2,0.5,(1+Z$21+$E$14-5-2)/2,TRUE),0.5+0.5*_xlfn.BETA.DIST(COS(T17)^2,0.5,(1+Z$21+$E$14-5-2)/2,TRUE)))</f>
        <v>0.5</v>
      </c>
      <c r="AA17" s="42"/>
      <c r="AB17" s="30">
        <f>AA18</f>
        <v>0.5</v>
      </c>
      <c r="AC17" s="30">
        <f>AA19</f>
        <v>0.5</v>
      </c>
      <c r="AD17" s="30">
        <f>AA20</f>
        <v>0.5</v>
      </c>
      <c r="AE17" s="44"/>
    </row>
    <row r="18" spans="2:51" ht="15.6" thickTop="1" thickBot="1" x14ac:dyDescent="0.35">
      <c r="G18" s="37"/>
      <c r="H18" s="36">
        <v>0</v>
      </c>
      <c r="I18" s="36">
        <v>0</v>
      </c>
      <c r="J18" s="34">
        <v>1</v>
      </c>
      <c r="K18" s="32">
        <f>J19</f>
        <v>0</v>
      </c>
      <c r="L18" s="32">
        <f>J20</f>
        <v>0</v>
      </c>
      <c r="M18" s="39"/>
      <c r="N18" s="19">
        <f>H18/N16</f>
        <v>0</v>
      </c>
      <c r="O18" s="20">
        <f>(I18-N18*N17)/O17</f>
        <v>0</v>
      </c>
      <c r="P18" s="20">
        <f>SQRT(J18-(O18^2+N18^2))</f>
        <v>1</v>
      </c>
      <c r="Q18" s="27">
        <v>0</v>
      </c>
      <c r="R18" s="28">
        <v>0</v>
      </c>
      <c r="S18" s="7"/>
      <c r="T18" s="19">
        <f>ACOS(N18)</f>
        <v>1.5707963267948966</v>
      </c>
      <c r="U18" s="20">
        <f>ACOS(O18/(SIN(T18)))</f>
        <v>1.5707963267948966</v>
      </c>
      <c r="V18" s="20"/>
      <c r="W18" s="20"/>
      <c r="X18" s="21"/>
      <c r="Y18" s="46"/>
      <c r="Z18" s="31">
        <f>IF(T18=PI()/2,0.5,IF(T18&lt;PI()/2,0.5-0.5*_xlfn.BETA.DIST(COS(T18)^2,0.5,(1+Z$21+$E$14-5-2)/2,TRUE),0.5+0.5*_xlfn.BETA.DIST(COS(T18)^2,0.5,(1+Z$21+$E$14-5-2)/2,TRUE)))</f>
        <v>0.5</v>
      </c>
      <c r="AA18" s="31">
        <f>IF(U18=PI()/2,0.5,IF(U18&lt;PI()/2,0.5-0.5*_xlfn.BETA.DIST(COS(U18)^2,0.5,(1+AA$21+$E$14-5-2)/2,TRUE),0.5+0.5*_xlfn.BETA.DIST(COS(U18)^2,0.5,(1+AA$21+$E$14-5-2)/2,TRUE)))</f>
        <v>0.5</v>
      </c>
      <c r="AB18" s="42"/>
      <c r="AC18" s="30">
        <f>AB19</f>
        <v>0.5</v>
      </c>
      <c r="AD18" s="30">
        <f>AB20</f>
        <v>0.5</v>
      </c>
      <c r="AE18" s="44"/>
      <c r="AF18" s="51">
        <f>LN(MIN(1-$AF$13,MAX(2*MIN(Z17,1-Z17),$AF$13)))+LN(MIN(1-$AF$13,MAX(2*MIN(Z18,1-Z18),$AF$13)))+LN(MIN(1-$AF$13,MAX(2*MIN(Z19,1-Z19),$AF$13)))+LN(MIN(1-$AF$13,MAX(2*MIN(Z20,1-Z20),$AF$13)))+LN(MIN(1-$AF$13,MAX(2*MIN(AA18,1-AA18),$AF$13)))+LN(MIN(1-$AF$13,MAX(2*MIN(AA19,1-AA19),$AF$13)))+LN(MIN(1-$AF$13,MAX(2*MIN(AA20,1-AA20),$AF$13)))+LN(MIN(1-$AF$13,MAX(2*MIN(AB19,1-AB19),$AF$13)))+LN(MIN(1-$AF$13,MAX(2*MIN(AB20,1-AB20),$AF$13)))+LN(MIN(1-$AF$13,MAX(2*MIN(AC20,1-AC20),$AF$13)))</f>
        <v>0</v>
      </c>
      <c r="AH18" s="61" t="s">
        <v>10</v>
      </c>
      <c r="AI18" s="62">
        <f>EXP(AF18)</f>
        <v>1</v>
      </c>
      <c r="AY18" s="50"/>
    </row>
    <row r="19" spans="2:51" ht="15" thickTop="1" x14ac:dyDescent="0.3">
      <c r="B19" s="2" t="s">
        <v>1</v>
      </c>
      <c r="G19" s="37"/>
      <c r="H19" s="36">
        <v>0</v>
      </c>
      <c r="I19" s="36">
        <v>0</v>
      </c>
      <c r="J19" s="36">
        <v>0</v>
      </c>
      <c r="K19" s="34">
        <v>1</v>
      </c>
      <c r="L19" s="32">
        <f>K20</f>
        <v>0</v>
      </c>
      <c r="M19" s="39"/>
      <c r="N19" s="19">
        <f>H19/N16</f>
        <v>0</v>
      </c>
      <c r="O19" s="20">
        <f>(I19-N19*N18)/O17</f>
        <v>0</v>
      </c>
      <c r="P19" s="20">
        <f>(J19-(N18*N19+O18*O19))/P18</f>
        <v>0</v>
      </c>
      <c r="Q19" s="20">
        <f>SQRT(K19-(P19^2+O19^2+N19^2))</f>
        <v>1</v>
      </c>
      <c r="R19" s="28">
        <v>0</v>
      </c>
      <c r="S19" s="7"/>
      <c r="T19" s="19">
        <f>ACOS(N19)</f>
        <v>1.5707963267948966</v>
      </c>
      <c r="U19" s="20">
        <f>ACOS(O19/(SIN(T19)))</f>
        <v>1.5707963267948966</v>
      </c>
      <c r="V19" s="20">
        <f>ACOS(P19/(SIN(U19)*SIN(T19)))</f>
        <v>1.5707963267948966</v>
      </c>
      <c r="W19" s="20"/>
      <c r="X19" s="21"/>
      <c r="Y19" s="46"/>
      <c r="Z19" s="31">
        <f>IF(T19=PI()/2,0.5,IF(T19&lt;PI()/2,0.5-0.5*_xlfn.BETA.DIST(COS(T19)^2,0.5,(1+Z$21+$E$14-5-2)/2,TRUE),0.5+0.5*_xlfn.BETA.DIST(COS(T19)^2,0.5,(1+Z$21+$E$14-5-2)/2,TRUE)))</f>
        <v>0.5</v>
      </c>
      <c r="AA19" s="31">
        <f>IF(U19=PI()/2,0.5,IF(U19&lt;PI()/2,0.5-0.5*_xlfn.BETA.DIST(COS(U19)^2,0.5,(1+AA$21+$E$14-5-2)/2,TRUE),0.5+0.5*_xlfn.BETA.DIST(COS(U19)^2,0.5,(1+AA$21+$E$14-5-2)/2,TRUE)))</f>
        <v>0.5</v>
      </c>
      <c r="AB19" s="31">
        <f>IF(V19=PI()/2,0.5,IF(V19&lt;PI()/2,0.5-0.5*_xlfn.BETA.DIST(COS(V19)^2,0.5,(1+AB$21+$E$14-5-2)/2,TRUE),0.5+0.5*_xlfn.BETA.DIST(COS(V19)^2,0.5,(1+AB$21+$E$14-5-2)/2,TRUE)))</f>
        <v>0.5</v>
      </c>
      <c r="AC19" s="42"/>
      <c r="AD19" s="30">
        <f>AC20</f>
        <v>0.5</v>
      </c>
      <c r="AE19" s="44"/>
    </row>
    <row r="20" spans="2:51" ht="15" thickBot="1" x14ac:dyDescent="0.35">
      <c r="G20" s="37"/>
      <c r="H20" s="36">
        <v>0</v>
      </c>
      <c r="I20" s="36">
        <v>0</v>
      </c>
      <c r="J20" s="36">
        <v>0</v>
      </c>
      <c r="K20" s="36">
        <v>0</v>
      </c>
      <c r="L20" s="34">
        <v>1</v>
      </c>
      <c r="M20" s="39"/>
      <c r="N20" s="22">
        <f>H20/N16</f>
        <v>0</v>
      </c>
      <c r="O20" s="23">
        <f>(I20-N20*N19)/O17</f>
        <v>0</v>
      </c>
      <c r="P20" s="23">
        <f>(J20-(N18*N20+O18*O20))/P18</f>
        <v>0</v>
      </c>
      <c r="Q20" s="23">
        <f>(K20-(N19*N20+O19*O20+P19*P20))/Q19</f>
        <v>0</v>
      </c>
      <c r="R20" s="24">
        <f>SQRT(L20-(N20^2+O20^2+P20^2+Q20^2))</f>
        <v>1</v>
      </c>
      <c r="S20" s="7"/>
      <c r="T20" s="22">
        <f>ACOS(N20)</f>
        <v>1.5707963267948966</v>
      </c>
      <c r="U20" s="23">
        <f>ACOS(O20/(SIN(T20)))</f>
        <v>1.5707963267948966</v>
      </c>
      <c r="V20" s="23">
        <f>ACOS(P20/(SIN(U20)*SIN(T20)))</f>
        <v>1.5707963267948966</v>
      </c>
      <c r="W20" s="23">
        <f>ACOS(Q20/(SIN(V20)*SIN(U20)*SIN(T20)))</f>
        <v>1.5707963267948966</v>
      </c>
      <c r="X20" s="24"/>
      <c r="Y20" s="46"/>
      <c r="Z20" s="31">
        <f>IF(T20=PI()/2,0.5,IF(T20&lt;PI()/2,0.5-0.5*_xlfn.BETA.DIST(COS(T20)^2,0.5,(1+Z$21+$E$14-5-2)/2,TRUE),0.5+0.5*_xlfn.BETA.DIST(COS(T20)^2,0.5,(1+Z$21+$E$14-5-2)/2,TRUE)))</f>
        <v>0.5</v>
      </c>
      <c r="AA20" s="31">
        <f>IF(U20=PI()/2,0.5,IF(U20&lt;PI()/2,0.5-0.5*_xlfn.BETA.DIST(COS(U20)^2,0.5,(1+AA$21+$E$14-5-2)/2,TRUE),0.5+0.5*_xlfn.BETA.DIST(COS(U20)^2,0.5,(1+AA$21+$E$14-5-2)/2,TRUE)))</f>
        <v>0.5</v>
      </c>
      <c r="AB20" s="31">
        <f>IF(V20=PI()/2,0.5,IF(V20&lt;PI()/2,0.5-0.5*_xlfn.BETA.DIST(COS(V20)^2,0.5,(1+AB$21+$E$14-5-2)/2,TRUE),0.5+0.5*_xlfn.BETA.DIST(COS(V20)^2,0.5,(1+AB$21+$E$14-5-2)/2,TRUE)))</f>
        <v>0.5</v>
      </c>
      <c r="AC20" s="31">
        <f>IF(W20=PI()/2,0.5,IF(W20&lt;PI()/2,0.5-0.5*_xlfn.BETA.DIST(COS(W20)^2,0.5,(1+AC$21+$E$14-5-2)/2,TRUE),0.5+0.5*_xlfn.BETA.DIST(COS(W20)^2,0.5,(1+AC$21+$E$14-5-2)/2,TRUE)))</f>
        <v>0.5</v>
      </c>
      <c r="AD20" s="42"/>
      <c r="AE20" s="44"/>
    </row>
    <row r="21" spans="2:51" ht="15" thickTop="1" x14ac:dyDescent="0.3">
      <c r="B21" s="33">
        <v>1</v>
      </c>
      <c r="C21" s="4">
        <v>0</v>
      </c>
      <c r="D21" s="4">
        <v>0</v>
      </c>
      <c r="E21" s="4">
        <v>0</v>
      </c>
      <c r="F21" s="5">
        <v>0</v>
      </c>
      <c r="H21" s="38"/>
      <c r="I21" s="38"/>
      <c r="J21" s="38"/>
      <c r="K21" s="38"/>
      <c r="L21" s="38"/>
      <c r="M21" s="15"/>
      <c r="N21" s="7"/>
      <c r="O21" s="7"/>
      <c r="P21" s="7"/>
      <c r="Q21" s="7"/>
      <c r="S21" s="15"/>
      <c r="T21" s="7"/>
      <c r="U21" s="7"/>
      <c r="V21" s="7"/>
      <c r="W21" s="7"/>
      <c r="Y21" s="15" t="s">
        <v>5</v>
      </c>
      <c r="Z21" s="45">
        <v>4</v>
      </c>
      <c r="AA21" s="45">
        <v>3</v>
      </c>
      <c r="AB21" s="45">
        <v>2</v>
      </c>
      <c r="AC21" s="45">
        <v>1</v>
      </c>
      <c r="AD21" s="38"/>
      <c r="AF21" s="47"/>
      <c r="AH21" s="47"/>
      <c r="AJ21" s="48"/>
    </row>
    <row r="22" spans="2:51" x14ac:dyDescent="0.3">
      <c r="B22" s="6">
        <v>0</v>
      </c>
      <c r="C22" s="34">
        <v>1</v>
      </c>
      <c r="D22" s="7">
        <v>0</v>
      </c>
      <c r="E22" s="7">
        <v>0</v>
      </c>
      <c r="F22" s="8">
        <v>0</v>
      </c>
      <c r="AC22" s="49"/>
    </row>
    <row r="23" spans="2:51" x14ac:dyDescent="0.3">
      <c r="B23" s="6">
        <v>0</v>
      </c>
      <c r="C23" s="7">
        <v>0</v>
      </c>
      <c r="D23" s="34">
        <v>1</v>
      </c>
      <c r="E23" s="7">
        <v>0</v>
      </c>
      <c r="F23" s="8">
        <v>0</v>
      </c>
      <c r="H23" s="11" t="s">
        <v>4</v>
      </c>
    </row>
    <row r="24" spans="2:51" x14ac:dyDescent="0.3">
      <c r="B24" s="6">
        <v>0</v>
      </c>
      <c r="C24" s="7">
        <v>0</v>
      </c>
      <c r="D24" s="7">
        <v>0</v>
      </c>
      <c r="E24" s="34">
        <v>1</v>
      </c>
      <c r="F24" s="8">
        <v>0</v>
      </c>
      <c r="H24" s="2" t="s">
        <v>0</v>
      </c>
      <c r="N24" s="2" t="s">
        <v>8</v>
      </c>
      <c r="T24" s="2" t="s">
        <v>3</v>
      </c>
      <c r="Z24" s="2" t="s">
        <v>32</v>
      </c>
    </row>
    <row r="25" spans="2:51" ht="15" thickBot="1" x14ac:dyDescent="0.35">
      <c r="B25" s="9">
        <v>0</v>
      </c>
      <c r="C25" s="10">
        <v>0</v>
      </c>
      <c r="D25" s="10">
        <v>0</v>
      </c>
      <c r="E25" s="10">
        <v>0</v>
      </c>
      <c r="F25" s="35">
        <v>1</v>
      </c>
      <c r="H25" s="40" t="str">
        <f>IF(OR(NOT(AND(0.0000000000000001&lt;H27,H27&lt;0.999999999999999)),NOT(AND(0.0000000000000001&lt;H28,H28&lt;0.999999999999999)),NOT(AND(0.0000000000000001&lt;H29,H29&lt;0.999999999999999)),NOT(AND(0.0000000000000001&lt;H30,H30&lt;0.999999999999999)),NOT(AND(0.0000000000000001&lt;I28,I28&lt;0.999999999999999)),NOT(AND(0.0000000000000001&lt;I29,I29&lt;0.999999999999999)),NOT(AND(0.0000000000000001&lt;I30,I30&lt;0.999999999999999)),NOT(AND(0.0000000000000001&lt;J29,J29&lt;0.999999999999999)),NOT(AND(0.0000000000000001&lt;J30,J30&lt;0.999999999999999)),NOT(AND(0.0000000000000001&lt;K30,K30&lt;0.999999999999999))),"ALL CELLS MUST BE 1E-16&lt;#&lt;[1.0 - 1E-16].","")</f>
        <v/>
      </c>
      <c r="I25" s="41"/>
      <c r="J25" s="41"/>
      <c r="K25" s="41"/>
      <c r="L25" s="41"/>
      <c r="Z25" s="41"/>
      <c r="AA25" s="41"/>
      <c r="AB25" s="41"/>
      <c r="AC25" s="41"/>
      <c r="AD25" s="41"/>
      <c r="AF25" s="2" t="s">
        <v>7</v>
      </c>
    </row>
    <row r="26" spans="2:51" x14ac:dyDescent="0.3">
      <c r="G26" s="37"/>
      <c r="H26" s="42"/>
      <c r="I26" s="32">
        <f>H27</f>
        <v>2.5000000000000001E-2</v>
      </c>
      <c r="J26" s="32">
        <f>H28</f>
        <v>2.5000000000000001E-2</v>
      </c>
      <c r="K26" s="32">
        <f>H29</f>
        <v>2.5000000000000001E-2</v>
      </c>
      <c r="L26" s="32">
        <f>H30</f>
        <v>2.5000000000000001E-2</v>
      </c>
      <c r="M26" s="39"/>
      <c r="N26" s="16"/>
      <c r="O26" s="17"/>
      <c r="P26" s="17"/>
      <c r="Q26" s="17"/>
      <c r="R26" s="18"/>
      <c r="S26" s="7"/>
      <c r="T26" s="16">
        <v>1</v>
      </c>
      <c r="U26" s="25">
        <v>0</v>
      </c>
      <c r="V26" s="25">
        <v>0</v>
      </c>
      <c r="W26" s="25">
        <v>0</v>
      </c>
      <c r="X26" s="26">
        <v>0</v>
      </c>
      <c r="Y26" s="46"/>
      <c r="Z26" s="29">
        <f>SUMPRODUCT($T26:$X26,$T$26:$X$26)</f>
        <v>1</v>
      </c>
      <c r="AA26" s="30">
        <f>SUMPRODUCT($T26:$X26,$T$27:$X$27)</f>
        <v>0.12360678381255652</v>
      </c>
      <c r="AB26" s="30">
        <f>SUMPRODUCT($T26:$X26,$T$28:$X$28)</f>
        <v>0.12360678381255652</v>
      </c>
      <c r="AC26" s="30">
        <f>SUMPRODUCT($T26:$X26,$T$29:$X$29)</f>
        <v>0.12360678381255652</v>
      </c>
      <c r="AD26" s="30">
        <f>SUMPRODUCT($T26:$X26,$T$30:$X$30)</f>
        <v>0.12360678381255652</v>
      </c>
      <c r="AE26" s="44"/>
      <c r="AF26" s="2" t="s">
        <v>6</v>
      </c>
    </row>
    <row r="27" spans="2:51" ht="15" thickBot="1" x14ac:dyDescent="0.35">
      <c r="G27" s="37"/>
      <c r="H27" s="54">
        <v>2.5000000000000001E-2</v>
      </c>
      <c r="I27" s="42"/>
      <c r="J27" s="32">
        <f>I28</f>
        <v>2.5000000000000001E-2</v>
      </c>
      <c r="K27" s="32">
        <f>I29</f>
        <v>2.5000000000000001E-2</v>
      </c>
      <c r="L27" s="32">
        <f>I30</f>
        <v>2.5000000000000001E-2</v>
      </c>
      <c r="M27" s="39"/>
      <c r="N27" s="19">
        <f>IF(H27=0.5,PI()/2,IF(H27&lt;0.5,ACOS(SQRT(_xlfn.BETA.INV(1-2*H27,0.5,(1+N$31+$E$14-5-2)/2))),PI()-ACOS(SQRT(_xlfn.BETA.INV(1-2*(1-H27),0.5,(1+N$31+$E$14-5-2)/2)))))</f>
        <v>1.4468726018200331</v>
      </c>
      <c r="O27" s="20"/>
      <c r="P27" s="20"/>
      <c r="Q27" s="20"/>
      <c r="R27" s="21"/>
      <c r="S27" s="7"/>
      <c r="T27" s="19">
        <f>COS(N27)</f>
        <v>0.12360678381255652</v>
      </c>
      <c r="U27" s="20">
        <f>SIN(N27)</f>
        <v>0.99233127684030797</v>
      </c>
      <c r="V27" s="27">
        <v>0</v>
      </c>
      <c r="W27" s="27">
        <v>0</v>
      </c>
      <c r="X27" s="28">
        <v>0</v>
      </c>
      <c r="Y27" s="46"/>
      <c r="Z27" s="30">
        <f>SUMPRODUCT($T27:$X27,$T$26:$X$26)</f>
        <v>0.12360678381255652</v>
      </c>
      <c r="AA27" s="29">
        <f t="shared" ref="AA27:AA30" si="0">SUMPRODUCT($T27:$X27,$T$27:$X$27)</f>
        <v>1</v>
      </c>
      <c r="AB27" s="30">
        <f t="shared" ref="AB27:AB30" si="1">SUMPRODUCT($T27:$X27,$T$28:$X$28)</f>
        <v>0.13723965115664144</v>
      </c>
      <c r="AC27" s="30">
        <f t="shared" ref="AC27:AC30" si="2">SUMPRODUCT($T27:$X27,$T$29:$X$29)</f>
        <v>0.13723965115664144</v>
      </c>
      <c r="AD27" s="30">
        <f t="shared" ref="AD27:AD30" si="3">SUMPRODUCT($T27:$X27,$T$30:$X$30)</f>
        <v>0.13723965115664144</v>
      </c>
      <c r="AE27" s="44"/>
    </row>
    <row r="28" spans="2:51" ht="15.6" thickTop="1" thickBot="1" x14ac:dyDescent="0.35">
      <c r="E28" s="59"/>
      <c r="F28" s="59" t="s">
        <v>18</v>
      </c>
      <c r="G28" s="37"/>
      <c r="H28" s="54">
        <v>2.5000000000000001E-2</v>
      </c>
      <c r="I28" s="54">
        <v>2.5000000000000001E-2</v>
      </c>
      <c r="J28" s="42"/>
      <c r="K28" s="32">
        <f>J29</f>
        <v>2.5000000000000001E-2</v>
      </c>
      <c r="L28" s="32">
        <f>J30</f>
        <v>2.5000000000000001E-2</v>
      </c>
      <c r="M28" s="39"/>
      <c r="N28" s="19">
        <f>IF(H28=0.5,PI()/2,IF(H28&lt;0.5,ACOS(SQRT(_xlfn.BETA.INV(1-2*H28,0.5,(1+N$31+$E$14-5-2)/2))),PI()-ACOS(SQRT(_xlfn.BETA.INV(1-2*(1-H28),0.5,(1+N$31+$E$14-5-2)/2)))))</f>
        <v>1.4468726018200331</v>
      </c>
      <c r="O28" s="20">
        <f>IF(I28=0.5,PI()/2,IF(I28&lt;0.5,ACOS(SQRT(_xlfn.BETA.INV(1-2*I28,0.5,(1+O$31+$E$14-5-2)/2))),PI()-ACOS(SQRT(_xlfn.BETA.INV(1-2*(1-I28),0.5,(1+O$31+$E$14-5-2)/2)))))</f>
        <v>1.4466241523918337</v>
      </c>
      <c r="P28" s="20"/>
      <c r="Q28" s="20"/>
      <c r="R28" s="21"/>
      <c r="S28" s="7"/>
      <c r="T28" s="19">
        <f>COS(N28)</f>
        <v>0.12360678381255652</v>
      </c>
      <c r="U28" s="20">
        <f>COS(O28)*SIN(N28)</f>
        <v>0.12290352727820357</v>
      </c>
      <c r="V28" s="20">
        <f>SIN(O28)*SIN(N28)</f>
        <v>0.98469085807581858</v>
      </c>
      <c r="W28" s="27">
        <v>0</v>
      </c>
      <c r="X28" s="28">
        <v>0</v>
      </c>
      <c r="Y28" s="46"/>
      <c r="Z28" s="30">
        <f>SUMPRODUCT($T28:$X28,$T$26:$X$26)</f>
        <v>0.12360678381255652</v>
      </c>
      <c r="AA28" s="30">
        <f t="shared" si="0"/>
        <v>0.13723965115664144</v>
      </c>
      <c r="AB28" s="29">
        <f t="shared" si="1"/>
        <v>1.0000000000000002</v>
      </c>
      <c r="AC28" s="30">
        <f t="shared" si="2"/>
        <v>0.15071457493728446</v>
      </c>
      <c r="AD28" s="30">
        <f t="shared" si="3"/>
        <v>0.15071457493728446</v>
      </c>
      <c r="AE28" s="44"/>
      <c r="AF28" s="51">
        <f>LN(MIN(1-$AF$13,MAX(2*MIN(H27,1-H27),$AF$13)))+LN(MIN(1-$AF$13,MAX(2*MIN(H28,1-H28),$AF$13)))+LN(MIN(1-$AF$13,MAX(2*MIN(H29,1-H29),$AF$13)))+LN(MIN(1-$AF$13,MAX(2*MIN(H30,1-H30),$AF$13)))+LN(MIN(1-$AF$13,MAX(2*MIN(I28,1-I28),$AF$13)))+LN(MIN(1-$AF$13,MAX(2*MIN(I29,1-I29),$AF$13)))+LN(MIN(1-$AF$13,MAX(2*MIN(I30,1-I30),$AF$13)))+LN(MIN(1-$AF$13,MAX(2*MIN(J29,1-J29),$AF$13)))+LN(MIN(1-$AF$13,MAX(2*MIN(J30,1-J30),$AF$13)))+LN(MIN(1-$AF$13,MAX(2*MIN(K30,1-K30),$AF$13)))</f>
        <v>-29.957322735539908</v>
      </c>
      <c r="AH28" s="61" t="s">
        <v>10</v>
      </c>
      <c r="AI28" s="62">
        <f>EXP(AF28)</f>
        <v>9.7656250000000218E-14</v>
      </c>
    </row>
    <row r="29" spans="2:51" ht="15" thickTop="1" x14ac:dyDescent="0.3">
      <c r="G29" s="37"/>
      <c r="H29" s="54">
        <v>2.5000000000000001E-2</v>
      </c>
      <c r="I29" s="54">
        <v>2.5000000000000001E-2</v>
      </c>
      <c r="J29" s="54">
        <v>2.5000000000000001E-2</v>
      </c>
      <c r="K29" s="42"/>
      <c r="L29" s="32">
        <f>K30</f>
        <v>2.5000000000000001E-2</v>
      </c>
      <c r="M29" s="39"/>
      <c r="N29" s="19">
        <f>IF(H29=0.5,PI()/2,IF(H29&lt;0.5,ACOS(SQRT(_xlfn.BETA.INV(1-2*H29,0.5,(1+N$31+$E$14-5-2)/2))),PI()-ACOS(SQRT(_xlfn.BETA.INV(1-2*(1-H29),0.5,(1+N$31+$E$14-5-2)/2)))))</f>
        <v>1.4468726018200331</v>
      </c>
      <c r="O29" s="20">
        <f>IF(I29=0.5,PI()/2,IF(I29&lt;0.5,ACOS(SQRT(_xlfn.BETA.INV(1-2*I29,0.5,(1+O$31+$E$14-5-2)/2))),PI()-ACOS(SQRT(_xlfn.BETA.INV(1-2*(1-I29),0.5,(1+O$31+$E$14-5-2)/2)))))</f>
        <v>1.4466241523918337</v>
      </c>
      <c r="P29" s="20">
        <f>IF(J29=0.5,PI()/2,IF(J29&lt;0.5,ACOS(SQRT(_xlfn.BETA.INV(1-2*J29,0.5,(1+P$31+$E$14-5-2)/2))),PI()-ACOS(SQRT(_xlfn.BETA.INV(1-2*(1-J29),0.5,(1+P$31+$E$14-5-2)/2)))))</f>
        <v>1.4463742026468633</v>
      </c>
      <c r="Q29" s="20"/>
      <c r="R29" s="21"/>
      <c r="S29" s="7"/>
      <c r="T29" s="19">
        <f>COS(N29)</f>
        <v>0.12360678381255652</v>
      </c>
      <c r="U29" s="20">
        <f>COS(O29)*SIN(N29)</f>
        <v>0.12290352727820357</v>
      </c>
      <c r="V29" s="20">
        <f>COS(P29)*SIN(O29)*SIN(N29)</f>
        <v>0.12220146041623056</v>
      </c>
      <c r="W29" s="20">
        <f>SIN(P29)*SIN(O29)*SIN(N29)</f>
        <v>0.97707875273707201</v>
      </c>
      <c r="X29" s="28">
        <v>0</v>
      </c>
      <c r="Y29" s="46"/>
      <c r="Z29" s="30">
        <f>SUMPRODUCT($T29:$X29,$T$26:$X$26)</f>
        <v>0.12360678381255652</v>
      </c>
      <c r="AA29" s="30">
        <f t="shared" si="0"/>
        <v>0.13723965115664144</v>
      </c>
      <c r="AB29" s="30">
        <f t="shared" si="1"/>
        <v>0.15071457493728446</v>
      </c>
      <c r="AC29" s="29">
        <f t="shared" si="2"/>
        <v>1.0000000000000002</v>
      </c>
      <c r="AD29" s="30">
        <f t="shared" si="3"/>
        <v>0.16403275198403813</v>
      </c>
      <c r="AE29" s="44"/>
    </row>
    <row r="30" spans="2:51" ht="15" thickBot="1" x14ac:dyDescent="0.35">
      <c r="G30" s="37"/>
      <c r="H30" s="54">
        <v>2.5000000000000001E-2</v>
      </c>
      <c r="I30" s="54">
        <v>2.5000000000000001E-2</v>
      </c>
      <c r="J30" s="54">
        <v>2.5000000000000001E-2</v>
      </c>
      <c r="K30" s="54">
        <v>2.5000000000000001E-2</v>
      </c>
      <c r="L30" s="42"/>
      <c r="M30" s="39"/>
      <c r="N30" s="22">
        <f>IF(H30=0.5,PI()/2,IF(H30&lt;0.5,ACOS(SQRT(_xlfn.BETA.INV(1-2*H30,0.5,(1+N$31+$E$14-5-2)/2))),PI()-ACOS(SQRT(_xlfn.BETA.INV(1-2*(1-H30),0.5,(1+N$31+$E$14-5-2)/2)))))</f>
        <v>1.4468726018200331</v>
      </c>
      <c r="O30" s="23">
        <f>IF(I30=0.5,PI()/2,IF(I30&lt;0.5,ACOS(SQRT(_xlfn.BETA.INV(1-2*I30,0.5,(1+O$31+$E$14-5-2)/2))),PI()-ACOS(SQRT(_xlfn.BETA.INV(1-2*(1-I30),0.5,(1+O$31+$E$14-5-2)/2)))))</f>
        <v>1.4466241523918337</v>
      </c>
      <c r="P30" s="23">
        <f>IF(J30=0.5,PI()/2,IF(J30&lt;0.5,ACOS(SQRT(_xlfn.BETA.INV(1-2*J30,0.5,(1+P$31+$E$14-5-2)/2))),PI()-ACOS(SQRT(_xlfn.BETA.INV(1-2*(1-J30),0.5,(1+P$31+$E$14-5-2)/2)))))</f>
        <v>1.4463742026468633</v>
      </c>
      <c r="Q30" s="23">
        <f>IF(K30=0.5,PI()/2,IF(K30&lt;0.5,ACOS(SQRT(_xlfn.BETA.INV(1-2*K30,0.5,(1+Q$31+$E$14-5-2)/2))),PI()-ACOS(SQRT(_xlfn.BETA.INV(1-2*(1-K30),0.5,(1+Q$31+$E$14-5-2)/2)))))</f>
        <v>1.446122737424262</v>
      </c>
      <c r="R30" s="24"/>
      <c r="S30" s="7"/>
      <c r="T30" s="22">
        <f>COS(N30)</f>
        <v>0.12360678381255652</v>
      </c>
      <c r="U30" s="23">
        <f>COS(O30)*SIN(N30)</f>
        <v>0.12290352727820357</v>
      </c>
      <c r="V30" s="23">
        <f>COS(P30)*SIN(O30)*SIN(N30)</f>
        <v>0.12220146041623056</v>
      </c>
      <c r="W30" s="23">
        <f>COS(Q30)*SIN(P30)*SIN(O30)*SIN(N30)</f>
        <v>0.12150058600876797</v>
      </c>
      <c r="X30" s="24">
        <f>SIN(Q30)*SIN(P30)*SIN(O30)*SIN(N30)</f>
        <v>0.96949496989399508</v>
      </c>
      <c r="Y30" s="46"/>
      <c r="Z30" s="30">
        <f>SUMPRODUCT($T30:$X30,$T$26:$X$26)</f>
        <v>0.12360678381255652</v>
      </c>
      <c r="AA30" s="30">
        <f t="shared" si="0"/>
        <v>0.13723965115664144</v>
      </c>
      <c r="AB30" s="30">
        <f t="shared" si="1"/>
        <v>0.15071457493728446</v>
      </c>
      <c r="AC30" s="30">
        <f t="shared" si="2"/>
        <v>0.16403275198403813</v>
      </c>
      <c r="AD30" s="29">
        <f t="shared" si="3"/>
        <v>1.0000000000000002</v>
      </c>
      <c r="AE30" s="44"/>
      <c r="AF30" s="12"/>
    </row>
    <row r="31" spans="2:51" ht="15" thickTop="1" x14ac:dyDescent="0.3">
      <c r="H31" s="38"/>
      <c r="I31" s="38"/>
      <c r="J31" s="38"/>
      <c r="K31" s="38"/>
      <c r="L31" s="38"/>
      <c r="M31" s="15" t="s">
        <v>5</v>
      </c>
      <c r="N31" s="7">
        <v>4</v>
      </c>
      <c r="O31" s="7">
        <v>3</v>
      </c>
      <c r="P31" s="7">
        <v>2</v>
      </c>
      <c r="Q31" s="7">
        <v>1</v>
      </c>
      <c r="Y31" s="15"/>
      <c r="Z31" s="45"/>
      <c r="AA31" s="45"/>
      <c r="AB31" s="45"/>
      <c r="AC31" s="45"/>
      <c r="AD31" s="38"/>
    </row>
    <row r="32" spans="2:51" ht="14.4" customHeight="1" x14ac:dyDescent="0.3">
      <c r="H32" s="7"/>
    </row>
    <row r="33" spans="2:35" x14ac:dyDescent="0.3">
      <c r="H33" s="2" t="s">
        <v>27</v>
      </c>
    </row>
    <row r="34" spans="2:35" x14ac:dyDescent="0.3">
      <c r="C34" s="59" t="str">
        <f>IF(NOT(AND(E36&gt;0,E36&lt;1)),"ERROR: enforce 0&lt;α&lt;1","")</f>
        <v/>
      </c>
      <c r="H34" s="2" t="s">
        <v>26</v>
      </c>
      <c r="N34" s="2" t="s">
        <v>8</v>
      </c>
      <c r="T34" s="2" t="s">
        <v>3</v>
      </c>
      <c r="Z34" s="2" t="s">
        <v>36</v>
      </c>
    </row>
    <row r="35" spans="2:35" ht="15" thickBot="1" x14ac:dyDescent="0.35">
      <c r="B35" s="11" t="s">
        <v>4</v>
      </c>
      <c r="H35" s="40" t="str">
        <f>IF(OR(NOT(AND(0.0000000000000001&lt;H37,H37&lt;0.999999999999999)),NOT(AND(0.0000000000000001&lt;H38,H38&lt;0.999999999999999)),NOT(AND(0.0000000000000001&lt;H39,H39&lt;0.999999999999999)),NOT(AND(0.0000000000000001&lt;H40,H40&lt;0.999999999999999)),NOT(AND(0.0000000000000001&lt;I38,I38&lt;0.999999999999999)),NOT(AND(0.0000000000000001&lt;I39,I39&lt;0.999999999999999)),NOT(AND(0.0000000000000001&lt;I40,I40&lt;0.999999999999999)),NOT(AND(0.0000000000000001&lt;J39,J39&lt;0.999999999999999)),NOT(AND(0.0000000000000001&lt;J40,J40&lt;0.999999999999999)),NOT(AND(0.0000000000000001&lt;K40,K40&lt;0.999999999999999))),"ALL CELLS MUST BE 1E-16&lt;#&lt;[1.0 - 1E-16].","")</f>
        <v/>
      </c>
      <c r="I35" s="41"/>
      <c r="J35" s="41"/>
      <c r="K35" s="41"/>
      <c r="L35" s="41"/>
      <c r="Z35" s="41"/>
      <c r="AA35" s="41"/>
      <c r="AB35" s="41"/>
      <c r="AC35" s="41"/>
      <c r="AD35" s="41"/>
      <c r="AF35" s="2" t="s">
        <v>7</v>
      </c>
    </row>
    <row r="36" spans="2:35" ht="15.6" thickTop="1" thickBot="1" x14ac:dyDescent="0.35">
      <c r="C36" s="56" t="s">
        <v>13</v>
      </c>
      <c r="D36" s="56"/>
      <c r="E36" s="70">
        <v>0.05</v>
      </c>
      <c r="F36" s="59" t="s">
        <v>29</v>
      </c>
      <c r="G36" s="37"/>
      <c r="H36" s="42"/>
      <c r="I36" s="32">
        <f>H37</f>
        <v>2.5580984459118716E-3</v>
      </c>
      <c r="J36" s="32">
        <f>H38</f>
        <v>2.5580984459118716E-3</v>
      </c>
      <c r="K36" s="32">
        <f>H39</f>
        <v>2.5580984459118716E-3</v>
      </c>
      <c r="L36" s="32">
        <f>H40</f>
        <v>2.5580984459118716E-3</v>
      </c>
      <c r="M36" s="39"/>
      <c r="N36" s="16"/>
      <c r="O36" s="17"/>
      <c r="P36" s="17"/>
      <c r="Q36" s="17"/>
      <c r="R36" s="18"/>
      <c r="S36" s="7"/>
      <c r="T36" s="16">
        <v>1</v>
      </c>
      <c r="U36" s="25">
        <v>0</v>
      </c>
      <c r="V36" s="25">
        <v>0</v>
      </c>
      <c r="W36" s="25">
        <v>0</v>
      </c>
      <c r="X36" s="26">
        <v>0</v>
      </c>
      <c r="Y36" s="46"/>
      <c r="Z36" s="29">
        <f>SUMPRODUCT($T36:$X36,$T$36:$X$36)</f>
        <v>1</v>
      </c>
      <c r="AA36" s="30">
        <f>SUMPRODUCT($T36:$X36,$T$37:$X$37)</f>
        <v>0.17585763224056894</v>
      </c>
      <c r="AB36" s="30">
        <f>SUMPRODUCT($T36:$X36,$T$38:$X$38)</f>
        <v>0.17585763224056894</v>
      </c>
      <c r="AC36" s="30">
        <f>SUMPRODUCT($T36:$X36,$T$39:$X$39)</f>
        <v>0.17585763224056894</v>
      </c>
      <c r="AD36" s="30">
        <f>SUMPRODUCT($T36:$X36,$T$40:$X$40)</f>
        <v>0.17585763224056894</v>
      </c>
      <c r="AE36" s="44"/>
      <c r="AF36" s="2" t="s">
        <v>6</v>
      </c>
    </row>
    <row r="37" spans="2:35" ht="15.6" thickTop="1" thickBot="1" x14ac:dyDescent="0.35">
      <c r="C37" s="57" t="s">
        <v>14</v>
      </c>
      <c r="D37" s="57"/>
      <c r="E37" s="7">
        <f>IF(C34="",1-E36,"")</f>
        <v>0.95</v>
      </c>
      <c r="F37" s="1"/>
      <c r="G37" s="37"/>
      <c r="H37" s="64">
        <f>IF($C$34="",(1-$E$37^(1/10))/2,"")</f>
        <v>2.5580984459118716E-3</v>
      </c>
      <c r="I37" s="42"/>
      <c r="J37" s="32">
        <f>I38</f>
        <v>2.5580984459118716E-3</v>
      </c>
      <c r="K37" s="32">
        <f>I39</f>
        <v>2.5580984459118716E-3</v>
      </c>
      <c r="L37" s="32">
        <f>I40</f>
        <v>2.5580984459118716E-3</v>
      </c>
      <c r="M37" s="39"/>
      <c r="N37" s="19">
        <f>IF(H37=0.5,PI()/2,IF(H37&lt;0.5,ACOS(SQRT(_xlfn.BETA.INV(1-2*H37,0.5,(1+N$31+$E$14-5-2)/2))),PI()-ACOS(SQRT(_xlfn.BETA.INV(1-2*(1-H37),0.5,(1+N$31+$E$14-5-2)/2)))))</f>
        <v>1.3940194167961579</v>
      </c>
      <c r="O37" s="20"/>
      <c r="P37" s="20"/>
      <c r="Q37" s="20"/>
      <c r="R37" s="21"/>
      <c r="S37" s="7"/>
      <c r="T37" s="19">
        <f>COS(N37)</f>
        <v>0.17585763224056894</v>
      </c>
      <c r="U37" s="20">
        <f>SIN(N37)</f>
        <v>0.98441560998530531</v>
      </c>
      <c r="V37" s="27">
        <v>0</v>
      </c>
      <c r="W37" s="27">
        <v>0</v>
      </c>
      <c r="X37" s="28">
        <v>0</v>
      </c>
      <c r="Y37" s="46"/>
      <c r="Z37" s="30">
        <f>SUMPRODUCT($T37:$X37,$T$36:$X$36)</f>
        <v>0.17585763224056894</v>
      </c>
      <c r="AA37" s="29">
        <f t="shared" ref="AA37:AA40" si="4">SUMPRODUCT($T37:$X37,$T$37:$X$37)</f>
        <v>0.99999999999999989</v>
      </c>
      <c r="AB37" s="30">
        <f t="shared" ref="AB37:AB40" si="5">SUMPRODUCT($T37:$X37,$T$38:$X$38)</f>
        <v>0.20168216032013719</v>
      </c>
      <c r="AC37" s="30">
        <f t="shared" ref="AC37:AC40" si="6">SUMPRODUCT($T37:$X37,$T$39:$X$39)</f>
        <v>0.20168216032013719</v>
      </c>
      <c r="AD37" s="30">
        <f t="shared" ref="AD37:AD40" si="7">SUMPRODUCT($T37:$X37,$T$40:$X$40)</f>
        <v>0.20168216032013719</v>
      </c>
      <c r="AE37" s="44"/>
    </row>
    <row r="38" spans="2:35" ht="15.6" thickTop="1" thickBot="1" x14ac:dyDescent="0.35">
      <c r="C38" s="56"/>
      <c r="D38" s="56"/>
      <c r="E38" s="63"/>
      <c r="G38" s="37"/>
      <c r="H38" s="64">
        <f>IF($C$34="",(1-$E$37^(1/10))/2,"")</f>
        <v>2.5580984459118716E-3</v>
      </c>
      <c r="I38" s="64">
        <f>IF($C$34="",(1-$E$37^(1/10))/2,"")</f>
        <v>2.5580984459118716E-3</v>
      </c>
      <c r="J38" s="42"/>
      <c r="K38" s="32">
        <f>J39</f>
        <v>2.5580984459118716E-3</v>
      </c>
      <c r="L38" s="32">
        <f>J40</f>
        <v>2.5580984459118716E-3</v>
      </c>
      <c r="M38" s="39"/>
      <c r="N38" s="19">
        <f>IF(H38=0.5,PI()/2,IF(H38&lt;0.5,ACOS(SQRT(_xlfn.BETA.INV(1-2*H38,0.5,(1+N$31+$E$14-5-2)/2))),PI()-ACOS(SQRT(_xlfn.BETA.INV(1-2*(1-H38),0.5,(1+N$31+$E$14-5-2)/2)))))</f>
        <v>1.3940194167961579</v>
      </c>
      <c r="O38" s="20">
        <f>IF(I38=0.5,PI()/2,IF(I38&lt;0.5,ACOS(SQRT(_xlfn.BETA.INV(1-2*I38,0.5,(1+O$31+$E$14-5-2)/2))),PI()-ACOS(SQRT(_xlfn.BETA.INV(1-2*(1-I38),0.5,(1+O$31+$E$14-5-2)/2)))))</f>
        <v>1.3936659590624945</v>
      </c>
      <c r="P38" s="20"/>
      <c r="Q38" s="20"/>
      <c r="R38" s="21"/>
      <c r="S38" s="7"/>
      <c r="T38" s="19">
        <f>COS(N38)</f>
        <v>0.17585763224056894</v>
      </c>
      <c r="U38" s="20">
        <f>COS(O38)*SIN(N38)</f>
        <v>0.17345951422430911</v>
      </c>
      <c r="V38" s="20">
        <f>SIN(O38)*SIN(N38)</f>
        <v>0.96901284310777192</v>
      </c>
      <c r="W38" s="27">
        <v>0</v>
      </c>
      <c r="X38" s="28">
        <v>0</v>
      </c>
      <c r="Y38" s="46"/>
      <c r="Z38" s="30">
        <f>SUMPRODUCT($T38:$X38,$T$36:$X$36)</f>
        <v>0.17585763224056894</v>
      </c>
      <c r="AA38" s="30">
        <f t="shared" si="4"/>
        <v>0.20168216032013719</v>
      </c>
      <c r="AB38" s="29">
        <f t="shared" si="5"/>
        <v>0.99999999999999989</v>
      </c>
      <c r="AC38" s="30">
        <f t="shared" si="6"/>
        <v>0.22679731024697336</v>
      </c>
      <c r="AD38" s="30">
        <f t="shared" si="7"/>
        <v>0.22679731024697336</v>
      </c>
      <c r="AE38" s="44"/>
      <c r="AF38" s="51">
        <f>LN(MIN(1-$AF$13,MAX(2*MIN(H37,1-H37),$AF$13)))+LN(MIN(1-$AF$13,MAX(2*MIN(H38,1-H38),$AF$13)))+LN(MIN(1-$AF$13,MAX(2*MIN(H39,1-H39),$AF$13)))+LN(MIN(1-$AF$13,MAX(2*MIN(H40,1-H40),$AF$13)))+LN(MIN(1-$AF$13,MAX(2*MIN(I38,1-I38),$AF$13)))+LN(MIN(1-$AF$13,MAX(2*MIN(I39,1-I39),$AF$13)))+LN(MIN(1-$AF$13,MAX(2*MIN(I40,1-I40),$AF$13)))+LN(MIN(1-$AF$13,MAX(2*MIN(J39,1-J39),$AF$13)))+LN(MIN(1-$AF$13,MAX(2*MIN(J40,1-J40),$AF$13)))+LN(MIN(1-$AF$13,MAX(2*MIN(K40,1-K40),$AF$13)))</f>
        <v>-52.753439105049658</v>
      </c>
      <c r="AH38" s="61" t="s">
        <v>10</v>
      </c>
      <c r="AI38" s="62">
        <f>EXP(AF38)</f>
        <v>1.2287753633011062E-23</v>
      </c>
    </row>
    <row r="39" spans="2:35" ht="15" thickTop="1" x14ac:dyDescent="0.3">
      <c r="B39" s="57" t="s">
        <v>46</v>
      </c>
      <c r="C39" s="56"/>
      <c r="D39" s="56"/>
      <c r="E39" s="55"/>
      <c r="G39" s="37"/>
      <c r="H39" s="64">
        <f>IF($C$34="",(1-$E$37^(1/10))/2,"")</f>
        <v>2.5580984459118716E-3</v>
      </c>
      <c r="I39" s="64">
        <f>IF($C$34="",(1-$E$37^(1/10))/2,"")</f>
        <v>2.5580984459118716E-3</v>
      </c>
      <c r="J39" s="64">
        <f>IF($C$34="",(1-$E$37^(1/10))/2,"")</f>
        <v>2.5580984459118716E-3</v>
      </c>
      <c r="K39" s="42"/>
      <c r="L39" s="32">
        <f>K40</f>
        <v>2.5580984459118716E-3</v>
      </c>
      <c r="M39" s="39"/>
      <c r="N39" s="19">
        <f>IF(H39=0.5,PI()/2,IF(H39&lt;0.5,ACOS(SQRT(_xlfn.BETA.INV(1-2*H39,0.5,(1+N$31+$E$14-5-2)/2))),PI()-ACOS(SQRT(_xlfn.BETA.INV(1-2*(1-H39),0.5,(1+N$31+$E$14-5-2)/2)))))</f>
        <v>1.3940194167961579</v>
      </c>
      <c r="O39" s="20">
        <f>IF(I39=0.5,PI()/2,IF(I39&lt;0.5,ACOS(SQRT(_xlfn.BETA.INV(1-2*I39,0.5,(1+O$31+$E$14-5-2)/2))),PI()-ACOS(SQRT(_xlfn.BETA.INV(1-2*(1-I39),0.5,(1+O$31+$E$14-5-2)/2)))))</f>
        <v>1.3936659590624945</v>
      </c>
      <c r="P39" s="20">
        <f>IF(J39=0.5,PI()/2,IF(J39&lt;0.5,ACOS(SQRT(_xlfn.BETA.INV(1-2*J39,0.5,(1+P$31+$E$14-5-2)/2))),PI()-ACOS(SQRT(_xlfn.BETA.INV(1-2*(1-J39),0.5,(1+P$31+$E$14-5-2)/2)))))</f>
        <v>1.3933103727136689</v>
      </c>
      <c r="Q39" s="20"/>
      <c r="R39" s="21"/>
      <c r="S39" s="7"/>
      <c r="T39" s="19">
        <f>COS(N39)</f>
        <v>0.17585763224056894</v>
      </c>
      <c r="U39" s="20">
        <f>COS(O39)*SIN(N39)</f>
        <v>0.17345951422430911</v>
      </c>
      <c r="V39" s="20">
        <f>COS(P39)*SIN(O39)*SIN(N39)</f>
        <v>0.17108462651855971</v>
      </c>
      <c r="W39" s="20">
        <f>SIN(P39)*SIN(O39)*SIN(N39)</f>
        <v>0.95379030225559125</v>
      </c>
      <c r="X39" s="28">
        <v>0</v>
      </c>
      <c r="Y39" s="46"/>
      <c r="Z39" s="30">
        <f>SUMPRODUCT($T39:$X39,$T$36:$X$36)</f>
        <v>0.17585763224056894</v>
      </c>
      <c r="AA39" s="30">
        <f t="shared" si="4"/>
        <v>0.20168216032013719</v>
      </c>
      <c r="AB39" s="30">
        <f t="shared" si="5"/>
        <v>0.22679731024697336</v>
      </c>
      <c r="AC39" s="29">
        <f t="shared" si="6"/>
        <v>0.99999999999999967</v>
      </c>
      <c r="AD39" s="30">
        <f t="shared" si="7"/>
        <v>0.25121980253402953</v>
      </c>
      <c r="AE39" s="44"/>
    </row>
    <row r="40" spans="2:35" ht="15" thickBot="1" x14ac:dyDescent="0.35">
      <c r="B40" s="57" t="s">
        <v>47</v>
      </c>
      <c r="C40" s="58"/>
      <c r="D40" s="58"/>
      <c r="E40" s="65"/>
      <c r="F40" s="2"/>
      <c r="G40" s="37"/>
      <c r="H40" s="64">
        <f>IF($C$34="",(1-$E$37^(1/10))/2,"")</f>
        <v>2.5580984459118716E-3</v>
      </c>
      <c r="I40" s="64">
        <f>IF($C$34="",(1-$E$37^(1/10))/2,"")</f>
        <v>2.5580984459118716E-3</v>
      </c>
      <c r="J40" s="64">
        <f>IF($C$34="",(1-$E$37^(1/10))/2,"")</f>
        <v>2.5580984459118716E-3</v>
      </c>
      <c r="K40" s="64">
        <f>IF($C$34="",(1-$E$37^(1/10))/2,"")</f>
        <v>2.5580984459118716E-3</v>
      </c>
      <c r="L40" s="42"/>
      <c r="M40" s="39"/>
      <c r="N40" s="22">
        <f>IF(H40=0.5,PI()/2,IF(H40&lt;0.5,ACOS(SQRT(_xlfn.BETA.INV(1-2*H40,0.5,(1+N$31+$E$14-5-2)/2))),PI()-ACOS(SQRT(_xlfn.BETA.INV(1-2*(1-H40),0.5,(1+N$31+$E$14-5-2)/2)))))</f>
        <v>1.3940194167961579</v>
      </c>
      <c r="O40" s="23">
        <f>IF(I40=0.5,PI()/2,IF(I40&lt;0.5,ACOS(SQRT(_xlfn.BETA.INV(1-2*I40,0.5,(1+O$31+$E$14-5-2)/2))),PI()-ACOS(SQRT(_xlfn.BETA.INV(1-2*(1-I40),0.5,(1+O$31+$E$14-5-2)/2)))))</f>
        <v>1.3936659590624945</v>
      </c>
      <c r="P40" s="23">
        <f>IF(J40=0.5,PI()/2,IF(J40&lt;0.5,ACOS(SQRT(_xlfn.BETA.INV(1-2*J40,0.5,(1+P$31+$E$14-5-2)/2))),PI()-ACOS(SQRT(_xlfn.BETA.INV(1-2*(1-J40),0.5,(1+P$31+$E$14-5-2)/2)))))</f>
        <v>1.3933103727136689</v>
      </c>
      <c r="Q40" s="23">
        <f>IF(K40=0.5,PI()/2,IF(K40&lt;0.5,ACOS(SQRT(_xlfn.BETA.INV(1-2*K40,0.5,(1+Q$31+$E$14-5-2)/2))),PI()-ACOS(SQRT(_xlfn.BETA.INV(1-2*(1-K40),0.5,(1+Q$31+$E$14-5-2)/2)))))</f>
        <v>1.3929526362991158</v>
      </c>
      <c r="R40" s="24"/>
      <c r="S40" s="7"/>
      <c r="T40" s="22">
        <f>COS(N40)</f>
        <v>0.17585763224056894</v>
      </c>
      <c r="U40" s="23">
        <f>COS(O40)*SIN(N40)</f>
        <v>0.17345951422430911</v>
      </c>
      <c r="V40" s="23">
        <f>COS(P40)*SIN(O40)*SIN(N40)</f>
        <v>0.17108462651855971</v>
      </c>
      <c r="W40" s="23">
        <f>COS(Q40)*SIN(P40)*SIN(O40)*SIN(N40)</f>
        <v>0.16873283658918492</v>
      </c>
      <c r="X40" s="24">
        <f>SIN(Q40)*SIN(P40)*SIN(O40)*SIN(N40)</f>
        <v>0.93874659548430839</v>
      </c>
      <c r="Y40" s="46"/>
      <c r="Z40" s="30">
        <f>SUMPRODUCT($T40:$X40,$T$36:$X$36)</f>
        <v>0.17585763224056894</v>
      </c>
      <c r="AA40" s="30">
        <f t="shared" si="4"/>
        <v>0.20168216032013719</v>
      </c>
      <c r="AB40" s="30">
        <f t="shared" si="5"/>
        <v>0.22679731024697336</v>
      </c>
      <c r="AC40" s="30">
        <f t="shared" si="6"/>
        <v>0.25121980253402953</v>
      </c>
      <c r="AD40" s="29">
        <f t="shared" si="7"/>
        <v>0.99999999999999978</v>
      </c>
      <c r="AE40" s="44"/>
      <c r="AF40" s="12"/>
    </row>
    <row r="41" spans="2:35" ht="15" thickTop="1" x14ac:dyDescent="0.3">
      <c r="B41" s="57" t="s">
        <v>39</v>
      </c>
      <c r="F41" s="14"/>
      <c r="H41" s="38"/>
      <c r="I41" s="38"/>
      <c r="J41" s="38"/>
      <c r="K41" s="38"/>
      <c r="L41" s="38"/>
      <c r="Z41" s="38"/>
      <c r="AA41" s="38"/>
      <c r="AB41" s="38"/>
      <c r="AC41" s="38"/>
      <c r="AD41" s="38"/>
    </row>
    <row r="42" spans="2:35" x14ac:dyDescent="0.3">
      <c r="B42" s="2" t="s">
        <v>43</v>
      </c>
      <c r="H42" s="2" t="s">
        <v>28</v>
      </c>
      <c r="N42" s="2" t="s">
        <v>8</v>
      </c>
      <c r="T42" s="2" t="s">
        <v>3</v>
      </c>
      <c r="Z42" s="2" t="s">
        <v>37</v>
      </c>
    </row>
    <row r="43" spans="2:35" ht="15" thickBot="1" x14ac:dyDescent="0.35">
      <c r="B43" s="2" t="s">
        <v>42</v>
      </c>
      <c r="H43" s="40" t="str">
        <f>IF(OR(NOT(AND(0.0000000000000001&lt;H45,H45&lt;0.999999999999999)),NOT(AND(0.0000000000000001&lt;H46,H46&lt;0.999999999999999)),NOT(AND(0.0000000000000001&lt;H47,H47&lt;0.999999999999999)),NOT(AND(0.0000000000000001&lt;H48,H48&lt;0.999999999999999)),NOT(AND(0.0000000000000001&lt;I46,I46&lt;0.999999999999999)),NOT(AND(0.0000000000000001&lt;I47,I47&lt;0.999999999999999)),NOT(AND(0.0000000000000001&lt;I48,I48&lt;0.999999999999999)),NOT(AND(0.0000000000000001&lt;J47,J47&lt;0.999999999999999)),NOT(AND(0.0000000000000001&lt;J48,J48&lt;0.999999999999999)),NOT(AND(0.0000000000000001&lt;K48,K48&lt;0.999999999999999))),"ALL CELLS MUST BE 1E-16&lt;#&lt;[1.0 - 1E-16].","")</f>
        <v/>
      </c>
      <c r="I43" s="41"/>
      <c r="J43" s="41"/>
      <c r="K43" s="41"/>
      <c r="L43" s="41"/>
      <c r="Z43" s="41"/>
      <c r="AA43" s="41"/>
      <c r="AB43" s="41"/>
      <c r="AC43" s="41"/>
      <c r="AD43" s="41"/>
      <c r="AF43" s="2" t="s">
        <v>7</v>
      </c>
    </row>
    <row r="44" spans="2:35" ht="15" thickTop="1" x14ac:dyDescent="0.3">
      <c r="B44" s="57"/>
      <c r="F44" s="59" t="s">
        <v>29</v>
      </c>
      <c r="G44" s="37"/>
      <c r="H44" s="42"/>
      <c r="I44" s="32">
        <f>H45</f>
        <v>0.99744190155408807</v>
      </c>
      <c r="J44" s="32">
        <f>H46</f>
        <v>0.99744190155408807</v>
      </c>
      <c r="K44" s="32">
        <f>H47</f>
        <v>0.99744190155408807</v>
      </c>
      <c r="L44" s="32">
        <f>H48</f>
        <v>0.99744190155408807</v>
      </c>
      <c r="M44" s="39"/>
      <c r="N44" s="16"/>
      <c r="O44" s="17"/>
      <c r="P44" s="17"/>
      <c r="Q44" s="17"/>
      <c r="R44" s="18"/>
      <c r="S44" s="7"/>
      <c r="T44" s="16">
        <v>1</v>
      </c>
      <c r="U44" s="25">
        <v>0</v>
      </c>
      <c r="V44" s="25">
        <v>0</v>
      </c>
      <c r="W44" s="25">
        <v>0</v>
      </c>
      <c r="X44" s="26">
        <v>0</v>
      </c>
      <c r="Y44" s="46"/>
      <c r="Z44" s="29">
        <f>SUMPRODUCT($T44:$X44,$T$44:$X$44)</f>
        <v>1</v>
      </c>
      <c r="AA44" s="30">
        <f>SUMPRODUCT($T44:$X44,$T$45:$X$45)</f>
        <v>-0.17585763224056838</v>
      </c>
      <c r="AB44" s="30">
        <f>SUMPRODUCT($T44:$X44,$T$46:$X$46)</f>
        <v>-0.17585763224056838</v>
      </c>
      <c r="AC44" s="30">
        <f>SUMPRODUCT($T44:$X44,$T$47:$X$47)</f>
        <v>-0.17585763224056838</v>
      </c>
      <c r="AD44" s="30">
        <f>SUMPRODUCT($T44:$X44,$T$48:$X$48)</f>
        <v>-0.17585763224056838</v>
      </c>
      <c r="AE44" s="44"/>
      <c r="AF44" s="2" t="s">
        <v>6</v>
      </c>
    </row>
    <row r="45" spans="2:35" ht="15" thickBot="1" x14ac:dyDescent="0.35">
      <c r="B45" s="57"/>
      <c r="F45" s="14"/>
      <c r="G45" s="37"/>
      <c r="H45" s="64">
        <f>IF($C$34="",1-H37,"")</f>
        <v>0.99744190155408807</v>
      </c>
      <c r="I45" s="42"/>
      <c r="J45" s="32">
        <f>I46</f>
        <v>0.99744190155408807</v>
      </c>
      <c r="K45" s="32">
        <f>I47</f>
        <v>0.99744190155408807</v>
      </c>
      <c r="L45" s="32">
        <f>I48</f>
        <v>0.99744190155408807</v>
      </c>
      <c r="M45" s="39"/>
      <c r="N45" s="19">
        <f>IF(H45=0.5,PI()/2,IF(H45&lt;0.5,ACOS(SQRT(_xlfn.BETA.INV(1-2*H45,0.5,(1+N$31+$E$14-5-2)/2))),PI()-ACOS(SQRT(_xlfn.BETA.INV(1-2*(1-H45),0.5,(1+N$31+$E$14-5-2)/2)))))</f>
        <v>1.7475732367936347</v>
      </c>
      <c r="O45" s="20"/>
      <c r="P45" s="20"/>
      <c r="Q45" s="20"/>
      <c r="R45" s="21"/>
      <c r="S45" s="7"/>
      <c r="T45" s="19">
        <f>COS(N45)</f>
        <v>-0.17585763224056838</v>
      </c>
      <c r="U45" s="20">
        <f>SIN(N45)</f>
        <v>0.98441560998530542</v>
      </c>
      <c r="V45" s="27">
        <v>0</v>
      </c>
      <c r="W45" s="27">
        <v>0</v>
      </c>
      <c r="X45" s="28">
        <v>0</v>
      </c>
      <c r="Y45" s="46"/>
      <c r="Z45" s="30">
        <f t="shared" ref="Z45:Z48" si="8">SUMPRODUCT($T45:$X45,$T$44:$X$44)</f>
        <v>-0.17585763224056838</v>
      </c>
      <c r="AA45" s="29">
        <f t="shared" ref="AA45:AA48" si="9">SUMPRODUCT($T45:$X45,$T$45:$X$45)</f>
        <v>1</v>
      </c>
      <c r="AB45" s="30">
        <f t="shared" ref="AB45:AB48" si="10">SUMPRODUCT($T45:$X45,$T$46:$X$46)</f>
        <v>-0.13983034668561872</v>
      </c>
      <c r="AC45" s="30">
        <f t="shared" ref="AC45:AC48" si="11">SUMPRODUCT($T45:$X45,$T$47:$X$47)</f>
        <v>-0.13983034668561872</v>
      </c>
      <c r="AD45" s="30">
        <f t="shared" ref="AD45:AD48" si="12">SUMPRODUCT($T45:$X45,$T$48:$X$48)</f>
        <v>-0.13983034668561872</v>
      </c>
      <c r="AE45" s="44"/>
    </row>
    <row r="46" spans="2:35" ht="15.6" thickTop="1" thickBot="1" x14ac:dyDescent="0.35">
      <c r="F46" s="14"/>
      <c r="G46" s="37"/>
      <c r="H46" s="64">
        <f>IF($C$34="",1-H38,"")</f>
        <v>0.99744190155408807</v>
      </c>
      <c r="I46" s="64">
        <f>IF($C$34="",1-I38,"")</f>
        <v>0.99744190155408807</v>
      </c>
      <c r="J46" s="42"/>
      <c r="K46" s="32">
        <f>J47</f>
        <v>0.99744190155408807</v>
      </c>
      <c r="L46" s="32">
        <f>J48</f>
        <v>0.99744190155408807</v>
      </c>
      <c r="M46" s="39"/>
      <c r="N46" s="19">
        <f>IF(H46=0.5,PI()/2,IF(H46&lt;0.5,ACOS(SQRT(_xlfn.BETA.INV(1-2*H46,0.5,(1+N$31+$E$14-5-2)/2))),PI()-ACOS(SQRT(_xlfn.BETA.INV(1-2*(1-H46),0.5,(1+N$31+$E$14-5-2)/2)))))</f>
        <v>1.7475732367936347</v>
      </c>
      <c r="O46" s="20">
        <f>IF(I46=0.5,PI()/2,IF(I46&lt;0.5,ACOS(SQRT(_xlfn.BETA.INV(1-2*I46,0.5,(1+O$31+$E$14-5-2)/2))),PI()-ACOS(SQRT(_xlfn.BETA.INV(1-2*(1-I46),0.5,(1+O$31+$E$14-5-2)/2)))))</f>
        <v>1.7479266945272984</v>
      </c>
      <c r="P46" s="20"/>
      <c r="Q46" s="20"/>
      <c r="R46" s="21"/>
      <c r="S46" s="7"/>
      <c r="T46" s="19">
        <f>COS(N46)</f>
        <v>-0.17585763224056838</v>
      </c>
      <c r="U46" s="20">
        <f>COS(O46)*SIN(N46)</f>
        <v>-0.1734595142243088</v>
      </c>
      <c r="V46" s="20">
        <f>SIN(O46)*SIN(N46)</f>
        <v>0.96901284310777214</v>
      </c>
      <c r="W46" s="27">
        <v>0</v>
      </c>
      <c r="X46" s="28">
        <v>0</v>
      </c>
      <c r="Y46" s="46"/>
      <c r="Z46" s="30">
        <f t="shared" si="8"/>
        <v>-0.17585763224056838</v>
      </c>
      <c r="AA46" s="30">
        <f t="shared" si="9"/>
        <v>-0.13983034668561872</v>
      </c>
      <c r="AB46" s="29">
        <f t="shared" si="10"/>
        <v>1</v>
      </c>
      <c r="AC46" s="30">
        <f t="shared" si="11"/>
        <v>-0.104769090462588</v>
      </c>
      <c r="AD46" s="30">
        <f t="shared" si="12"/>
        <v>-0.104769090462588</v>
      </c>
      <c r="AE46" s="44"/>
      <c r="AF46" s="51">
        <f>LN(MIN(1-$AF$13,MAX(2*MIN(H45,1-H45),$AF$13)))+LN(MIN(1-$AF$13,MAX(2*MIN(H46,1-H46),$AF$13)))+LN(MIN(1-$AF$13,MAX(2*MIN(H47,1-H47),$AF$13)))+LN(MIN(1-$AF$13,MAX(2*MIN(H48,1-H48),$AF$13)))+LN(MIN(1-$AF$13,MAX(2*MIN(I46,1-I46),$AF$13)))+LN(MIN(1-$AF$13,MAX(2*MIN(I47,1-I47),$AF$13)))+LN(MIN(1-$AF$13,MAX(2*MIN(I48,1-I48),$AF$13)))+LN(MIN(1-$AF$13,MAX(2*MIN(J47,1-J47),$AF$13)))+LN(MIN(1-$AF$13,MAX(2*MIN(J48,1-J48),$AF$13)))+LN(MIN(1-$AF$13,MAX(2*MIN(K48,1-K48),$AF$13)))</f>
        <v>-52.753439105049445</v>
      </c>
      <c r="AH46" s="61" t="s">
        <v>10</v>
      </c>
      <c r="AI46" s="62">
        <f>EXP(AF46)</f>
        <v>1.2287753633013682E-23</v>
      </c>
    </row>
    <row r="47" spans="2:35" ht="15" thickTop="1" x14ac:dyDescent="0.3">
      <c r="F47" s="14"/>
      <c r="G47" s="37"/>
      <c r="H47" s="64">
        <f>IF($C$34="",1-H39,"")</f>
        <v>0.99744190155408807</v>
      </c>
      <c r="I47" s="64">
        <f>IF($C$34="",1-I39,"")</f>
        <v>0.99744190155408807</v>
      </c>
      <c r="J47" s="64">
        <f>IF($C$34="",1-J39,"")</f>
        <v>0.99744190155408807</v>
      </c>
      <c r="K47" s="42"/>
      <c r="L47" s="32">
        <f>K48</f>
        <v>0.99744190155408807</v>
      </c>
      <c r="M47" s="39"/>
      <c r="N47" s="19">
        <f>IF(H47=0.5,PI()/2,IF(H47&lt;0.5,ACOS(SQRT(_xlfn.BETA.INV(1-2*H47,0.5,(1+N$31+$E$14-5-2)/2))),PI()-ACOS(SQRT(_xlfn.BETA.INV(1-2*(1-H47),0.5,(1+N$31+$E$14-5-2)/2)))))</f>
        <v>1.7475732367936347</v>
      </c>
      <c r="O47" s="20">
        <f>IF(I47=0.5,PI()/2,IF(I47&lt;0.5,ACOS(SQRT(_xlfn.BETA.INV(1-2*I47,0.5,(1+O$31+$E$14-5-2)/2))),PI()-ACOS(SQRT(_xlfn.BETA.INV(1-2*(1-I47),0.5,(1+O$31+$E$14-5-2)/2)))))</f>
        <v>1.7479266945272984</v>
      </c>
      <c r="P47" s="20">
        <f>IF(J47=0.5,PI()/2,IF(J47&lt;0.5,ACOS(SQRT(_xlfn.BETA.INV(1-2*J47,0.5,(1+P$31+$E$14-5-2)/2))),PI()-ACOS(SQRT(_xlfn.BETA.INV(1-2*(1-J47),0.5,(1+P$31+$E$14-5-2)/2)))))</f>
        <v>1.7482822808761236</v>
      </c>
      <c r="Q47" s="20"/>
      <c r="R47" s="21"/>
      <c r="S47" s="7"/>
      <c r="T47" s="19">
        <f>COS(N47)</f>
        <v>-0.17585763224056838</v>
      </c>
      <c r="U47" s="20">
        <f>COS(O47)*SIN(N47)</f>
        <v>-0.1734595142243088</v>
      </c>
      <c r="V47" s="20">
        <f>COS(P47)*SIN(O47)*SIN(N47)</f>
        <v>-0.17108462651855899</v>
      </c>
      <c r="W47" s="20">
        <f>SIN(P47)*SIN(O47)*SIN(N47)</f>
        <v>0.95379030225559169</v>
      </c>
      <c r="X47" s="28">
        <v>0</v>
      </c>
      <c r="Y47" s="46"/>
      <c r="Z47" s="30">
        <f t="shared" si="8"/>
        <v>-0.17585763224056838</v>
      </c>
      <c r="AA47" s="30">
        <f t="shared" si="9"/>
        <v>-0.13983034668561872</v>
      </c>
      <c r="AB47" s="30">
        <f t="shared" si="10"/>
        <v>-0.104769090462588</v>
      </c>
      <c r="AC47" s="29">
        <f t="shared" si="11"/>
        <v>1</v>
      </c>
      <c r="AD47" s="30">
        <f t="shared" si="12"/>
        <v>-7.0651683887654609E-2</v>
      </c>
      <c r="AE47" s="44"/>
    </row>
    <row r="48" spans="2:35" ht="15" thickBot="1" x14ac:dyDescent="0.35">
      <c r="F48" s="14"/>
      <c r="G48" s="37"/>
      <c r="H48" s="64">
        <f>IF($C$34="",1-H40,"")</f>
        <v>0.99744190155408807</v>
      </c>
      <c r="I48" s="64">
        <f>IF($C$34="",1-I40,"")</f>
        <v>0.99744190155408807</v>
      </c>
      <c r="J48" s="64">
        <f>IF($C$34="",1-J40,"")</f>
        <v>0.99744190155408807</v>
      </c>
      <c r="K48" s="64">
        <f>IF($C$34="",1-K40,"")</f>
        <v>0.99744190155408807</v>
      </c>
      <c r="L48" s="42"/>
      <c r="M48" s="39"/>
      <c r="N48" s="22">
        <f>IF(H48=0.5,PI()/2,IF(H48&lt;0.5,ACOS(SQRT(_xlfn.BETA.INV(1-2*H48,0.5,(1+N$31+$E$14-5-2)/2))),PI()-ACOS(SQRT(_xlfn.BETA.INV(1-2*(1-H48),0.5,(1+N$31+$E$14-5-2)/2)))))</f>
        <v>1.7475732367936347</v>
      </c>
      <c r="O48" s="23">
        <f>IF(I48=0.5,PI()/2,IF(I48&lt;0.5,ACOS(SQRT(_xlfn.BETA.INV(1-2*I48,0.5,(1+O$31+$E$14-5-2)/2))),PI()-ACOS(SQRT(_xlfn.BETA.INV(1-2*(1-I48),0.5,(1+O$31+$E$14-5-2)/2)))))</f>
        <v>1.7479266945272984</v>
      </c>
      <c r="P48" s="23">
        <f>IF(J48=0.5,PI()/2,IF(J48&lt;0.5,ACOS(SQRT(_xlfn.BETA.INV(1-2*J48,0.5,(1+P$31+$E$14-5-2)/2))),PI()-ACOS(SQRT(_xlfn.BETA.INV(1-2*(1-J48),0.5,(1+P$31+$E$14-5-2)/2)))))</f>
        <v>1.7482822808761236</v>
      </c>
      <c r="Q48" s="23">
        <f>IF(K48=0.5,PI()/2,IF(K48&lt;0.5,ACOS(SQRT(_xlfn.BETA.INV(1-2*K48,0.5,(1+Q$31+$E$14-5-2)/2))),PI()-ACOS(SQRT(_xlfn.BETA.INV(1-2*(1-K48),0.5,(1+Q$31+$E$14-5-2)/2)))))</f>
        <v>1.7486400172906769</v>
      </c>
      <c r="R48" s="24"/>
      <c r="S48" s="7"/>
      <c r="T48" s="22">
        <f>COS(N48)</f>
        <v>-0.17585763224056838</v>
      </c>
      <c r="U48" s="23">
        <f>COS(O48)*SIN(N48)</f>
        <v>-0.1734595142243088</v>
      </c>
      <c r="V48" s="23">
        <f>COS(P48)*SIN(O48)*SIN(N48)</f>
        <v>-0.17108462651855899</v>
      </c>
      <c r="W48" s="23">
        <f>COS(Q48)*SIN(P48)*SIN(O48)*SIN(N48)</f>
        <v>-0.16873283658918448</v>
      </c>
      <c r="X48" s="24">
        <f>SIN(Q48)*SIN(P48)*SIN(O48)*SIN(N48)</f>
        <v>0.93874659548430883</v>
      </c>
      <c r="Y48" s="46"/>
      <c r="Z48" s="30">
        <f t="shared" si="8"/>
        <v>-0.17585763224056838</v>
      </c>
      <c r="AA48" s="30">
        <f t="shared" si="9"/>
        <v>-0.13983034668561872</v>
      </c>
      <c r="AB48" s="30">
        <f t="shared" si="10"/>
        <v>-0.104769090462588</v>
      </c>
      <c r="AC48" s="30">
        <f t="shared" si="11"/>
        <v>-7.0651683887654609E-2</v>
      </c>
      <c r="AD48" s="29">
        <f t="shared" si="12"/>
        <v>1</v>
      </c>
      <c r="AE48" s="44"/>
      <c r="AF48" s="12"/>
    </row>
    <row r="49" spans="6:30" ht="15" thickTop="1" x14ac:dyDescent="0.3">
      <c r="F49" s="14"/>
      <c r="H49" s="38"/>
      <c r="I49" s="38"/>
      <c r="J49" s="38"/>
      <c r="K49" s="38"/>
      <c r="L49" s="38"/>
      <c r="M49" s="15"/>
      <c r="N49" s="7"/>
      <c r="O49" s="7"/>
      <c r="P49" s="7"/>
      <c r="Q49" s="7"/>
      <c r="Y49" s="15"/>
      <c r="Z49" s="45"/>
      <c r="AA49" s="45"/>
      <c r="AB49" s="45"/>
      <c r="AC49" s="45"/>
      <c r="AD49" s="38"/>
    </row>
  </sheetData>
  <sheetProtection algorithmName="SHA-512" hashValue="w7V3yu61t2/dxxsc8yi3yKtin+M9YpUQ4+/COTpIs+mBwzDpDO3D9iTafF6zVV/RshHZb1x4XD7o71jcYTpDEw==" saltValue="6TdiWvTXTKKScide05gXuA==" spinCount="100000" sheet="1" objects="1" scenarios="1"/>
  <pageMargins left="0.7" right="0.7" top="0.75" bottom="0.75" header="0.3" footer="0.3"/>
  <pageSetup orientation="portrait" r:id="rId1"/>
  <ignoredErrors>
    <ignoredError sqref="U2:U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JD Opdyke (2022)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jdopdyke</dc:creator>
  <cp:lastModifiedBy>J.D. Opdyke</cp:lastModifiedBy>
  <dcterms:created xsi:type="dcterms:W3CDTF">2022-03-12T16:14:34Z</dcterms:created>
  <dcterms:modified xsi:type="dcterms:W3CDTF">2023-10-10T11:51:42Z</dcterms:modified>
</cp:coreProperties>
</file>